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tabRatio="696" activeTab="4"/>
  </bookViews>
  <sheets>
    <sheet name="по сч.ф.2013" sheetId="5" r:id="rId1"/>
    <sheet name="по сч.ф.2014" sheetId="4" r:id="rId2"/>
    <sheet name="по сч.ф.2015" sheetId="6" r:id="rId3"/>
    <sheet name="по сч.ф.2016" sheetId="8" r:id="rId4"/>
    <sheet name="по сч.ф.2017" sheetId="9" r:id="rId5"/>
    <sheet name="сч. ф." sheetId="7" r:id="rId6"/>
    <sheet name="Лист1" sheetId="1" r:id="rId7"/>
    <sheet name="Лист2" sheetId="2" r:id="rId8"/>
    <sheet name="Лист3" sheetId="3" r:id="rId9"/>
  </sheets>
  <externalReferences>
    <externalReference r:id="rId10"/>
    <externalReference r:id="rId11"/>
    <externalReference r:id="rId12"/>
    <externalReference r:id="rId13"/>
    <externalReference r:id="rId14"/>
  </externalReferences>
  <calcPr calcId="124519"/>
</workbook>
</file>

<file path=xl/calcChain.xml><?xml version="1.0" encoding="utf-8"?>
<calcChain xmlns="http://schemas.openxmlformats.org/spreadsheetml/2006/main">
  <c r="E4" i="9"/>
  <c r="F13" i="7" l="1"/>
  <c r="E14"/>
  <c r="E13"/>
  <c r="E17" s="1"/>
  <c r="C12"/>
  <c r="E11"/>
  <c r="F11" s="1"/>
  <c r="E10"/>
  <c r="E9"/>
  <c r="F9" s="1"/>
  <c r="E8"/>
  <c r="F8" s="1"/>
  <c r="E7"/>
  <c r="F7" s="1"/>
  <c r="E6"/>
  <c r="E5"/>
  <c r="F5" s="1"/>
  <c r="E4"/>
  <c r="F4" s="1"/>
  <c r="E3"/>
  <c r="E26" i="9"/>
  <c r="F25"/>
  <c r="E25"/>
  <c r="G25" s="1"/>
  <c r="E24"/>
  <c r="F23"/>
  <c r="E23"/>
  <c r="G23" s="1"/>
  <c r="E22"/>
  <c r="F21"/>
  <c r="E21"/>
  <c r="G21" s="1"/>
  <c r="E20"/>
  <c r="F19"/>
  <c r="E19"/>
  <c r="G19" s="1"/>
  <c r="E18"/>
  <c r="F17"/>
  <c r="E17"/>
  <c r="G17" s="1"/>
  <c r="E16"/>
  <c r="F15"/>
  <c r="E15"/>
  <c r="G15" s="1"/>
  <c r="E14"/>
  <c r="F13"/>
  <c r="E13"/>
  <c r="G13" s="1"/>
  <c r="E12"/>
  <c r="F11"/>
  <c r="E11"/>
  <c r="G11" s="1"/>
  <c r="E10"/>
  <c r="F9"/>
  <c r="E9"/>
  <c r="G9" s="1"/>
  <c r="E6"/>
  <c r="F5"/>
  <c r="F4"/>
  <c r="F8"/>
  <c r="F6" l="1"/>
  <c r="G6" s="1"/>
  <c r="G4"/>
  <c r="E12" i="7"/>
  <c r="F12" s="1"/>
  <c r="G12" s="1"/>
  <c r="F3"/>
  <c r="G3" s="1"/>
  <c r="G5"/>
  <c r="G9"/>
  <c r="G7"/>
  <c r="G11"/>
  <c r="G4"/>
  <c r="G8"/>
  <c r="F6"/>
  <c r="G6" s="1"/>
  <c r="F10"/>
  <c r="G10" s="1"/>
  <c r="F14"/>
  <c r="G13" s="1"/>
  <c r="G5" i="9"/>
  <c r="F3"/>
  <c r="G3" s="1"/>
  <c r="H3" s="1"/>
  <c r="G7"/>
  <c r="F10"/>
  <c r="G10" s="1"/>
  <c r="H9" s="1"/>
  <c r="F12"/>
  <c r="G12" s="1"/>
  <c r="H11" s="1"/>
  <c r="F14"/>
  <c r="G14" s="1"/>
  <c r="H13" s="1"/>
  <c r="F16"/>
  <c r="G16" s="1"/>
  <c r="H15" s="1"/>
  <c r="F18"/>
  <c r="G18" s="1"/>
  <c r="H17" s="1"/>
  <c r="F20"/>
  <c r="G20" s="1"/>
  <c r="H19" s="1"/>
  <c r="F22"/>
  <c r="G22" s="1"/>
  <c r="H21" s="1"/>
  <c r="F24"/>
  <c r="G24" s="1"/>
  <c r="H23" s="1"/>
  <c r="F26"/>
  <c r="G8"/>
  <c r="E27"/>
  <c r="F29" i="8"/>
  <c r="G27"/>
  <c r="G25"/>
  <c r="H5" i="9" l="1"/>
  <c r="D12" i="7"/>
  <c r="E16"/>
  <c r="G14"/>
  <c r="H7" i="9"/>
  <c r="G26"/>
  <c r="H25" s="1"/>
  <c r="F27"/>
  <c r="G27" s="1"/>
  <c r="H23" i="8"/>
  <c r="E30" i="7"/>
  <c r="F30"/>
  <c r="E34" l="1"/>
  <c r="E31"/>
  <c r="F31" s="1"/>
  <c r="G30" s="1"/>
  <c r="C29"/>
  <c r="E28"/>
  <c r="F28" s="1"/>
  <c r="E27"/>
  <c r="F27" s="1"/>
  <c r="E26"/>
  <c r="F26" s="1"/>
  <c r="E25"/>
  <c r="E24"/>
  <c r="F24" s="1"/>
  <c r="E23"/>
  <c r="F23" s="1"/>
  <c r="E22"/>
  <c r="F22" s="1"/>
  <c r="E21"/>
  <c r="E20"/>
  <c r="E29" l="1"/>
  <c r="E33" s="1"/>
  <c r="F21"/>
  <c r="G21" s="1"/>
  <c r="G23"/>
  <c r="F25"/>
  <c r="G25" s="1"/>
  <c r="G27"/>
  <c r="G22"/>
  <c r="G24"/>
  <c r="G26"/>
  <c r="G28"/>
  <c r="G31"/>
  <c r="F20"/>
  <c r="G20" s="1"/>
  <c r="E48"/>
  <c r="E51"/>
  <c r="C46"/>
  <c r="E45"/>
  <c r="E44"/>
  <c r="E43"/>
  <c r="F43" s="1"/>
  <c r="E42"/>
  <c r="F42" s="1"/>
  <c r="E41"/>
  <c r="E40"/>
  <c r="F40" s="1"/>
  <c r="E39"/>
  <c r="F39" s="1"/>
  <c r="E38"/>
  <c r="F38" s="1"/>
  <c r="E37"/>
  <c r="D29" l="1"/>
  <c r="F29"/>
  <c r="G29" s="1"/>
  <c r="F48"/>
  <c r="F47" s="1"/>
  <c r="G47" s="1"/>
  <c r="F37"/>
  <c r="G37" s="1"/>
  <c r="G39"/>
  <c r="F41"/>
  <c r="G41" s="1"/>
  <c r="G43"/>
  <c r="F45"/>
  <c r="G45" s="1"/>
  <c r="G38"/>
  <c r="G40"/>
  <c r="G42"/>
  <c r="E46"/>
  <c r="F44"/>
  <c r="G44" s="1"/>
  <c r="D63"/>
  <c r="F64"/>
  <c r="C63"/>
  <c r="F65"/>
  <c r="G65" s="1"/>
  <c r="E68"/>
  <c r="G64"/>
  <c r="E62"/>
  <c r="F62" s="1"/>
  <c r="E61"/>
  <c r="F61" s="1"/>
  <c r="E60"/>
  <c r="F60" s="1"/>
  <c r="E59"/>
  <c r="E58"/>
  <c r="F58" s="1"/>
  <c r="E57"/>
  <c r="F57" s="1"/>
  <c r="E56"/>
  <c r="F56" s="1"/>
  <c r="E55"/>
  <c r="E54"/>
  <c r="G48" l="1"/>
  <c r="E50"/>
  <c r="F46"/>
  <c r="G46" s="1"/>
  <c r="D46"/>
  <c r="E63"/>
  <c r="F55"/>
  <c r="G55" s="1"/>
  <c r="G57"/>
  <c r="F59"/>
  <c r="G59" s="1"/>
  <c r="G61"/>
  <c r="G56"/>
  <c r="G58"/>
  <c r="G60"/>
  <c r="G62"/>
  <c r="F54"/>
  <c r="G54" s="1"/>
  <c r="F81"/>
  <c r="E85"/>
  <c r="F82"/>
  <c r="G82" s="1"/>
  <c r="G81"/>
  <c r="C80"/>
  <c r="E79"/>
  <c r="F79" s="1"/>
  <c r="E78"/>
  <c r="F78" s="1"/>
  <c r="E77"/>
  <c r="F77" s="1"/>
  <c r="E76"/>
  <c r="E75"/>
  <c r="F75" s="1"/>
  <c r="E74"/>
  <c r="F74" s="1"/>
  <c r="E73"/>
  <c r="F73" s="1"/>
  <c r="E72"/>
  <c r="E71"/>
  <c r="E102"/>
  <c r="F98"/>
  <c r="E67" l="1"/>
  <c r="F63"/>
  <c r="G63" s="1"/>
  <c r="E80"/>
  <c r="E84" s="1"/>
  <c r="F72"/>
  <c r="G72" s="1"/>
  <c r="G74"/>
  <c r="F76"/>
  <c r="G76" s="1"/>
  <c r="G78"/>
  <c r="G73"/>
  <c r="G75"/>
  <c r="G77"/>
  <c r="G79"/>
  <c r="F71"/>
  <c r="G71" s="1"/>
  <c r="C97"/>
  <c r="F99"/>
  <c r="G99" s="1"/>
  <c r="G98"/>
  <c r="E96"/>
  <c r="F96" s="1"/>
  <c r="E95"/>
  <c r="F95" s="1"/>
  <c r="E94"/>
  <c r="F94" s="1"/>
  <c r="E93"/>
  <c r="F93" s="1"/>
  <c r="E92"/>
  <c r="F92" s="1"/>
  <c r="E91"/>
  <c r="F91" s="1"/>
  <c r="E90"/>
  <c r="F90" s="1"/>
  <c r="E89"/>
  <c r="F89" s="1"/>
  <c r="E88"/>
  <c r="D80" l="1"/>
  <c r="F80"/>
  <c r="G80" s="1"/>
  <c r="E97"/>
  <c r="E101" s="1"/>
  <c r="G89"/>
  <c r="G93"/>
  <c r="G91"/>
  <c r="G95"/>
  <c r="G90"/>
  <c r="G92"/>
  <c r="G96"/>
  <c r="G94"/>
  <c r="F88"/>
  <c r="G88" s="1"/>
  <c r="F115"/>
  <c r="D97" l="1"/>
  <c r="F97"/>
  <c r="G97" s="1"/>
  <c r="E119"/>
  <c r="G115"/>
  <c r="C114"/>
  <c r="E113"/>
  <c r="F113" s="1"/>
  <c r="E112"/>
  <c r="F112" s="1"/>
  <c r="E111"/>
  <c r="F111" s="1"/>
  <c r="E110"/>
  <c r="E109"/>
  <c r="F109" s="1"/>
  <c r="E108"/>
  <c r="F108" s="1"/>
  <c r="E107"/>
  <c r="F107" s="1"/>
  <c r="E106"/>
  <c r="E105"/>
  <c r="E136"/>
  <c r="F133"/>
  <c r="E133"/>
  <c r="G132"/>
  <c r="F132"/>
  <c r="C131"/>
  <c r="E130"/>
  <c r="E129"/>
  <c r="F129" s="1"/>
  <c r="F128"/>
  <c r="E128"/>
  <c r="E127"/>
  <c r="F127" s="1"/>
  <c r="E126"/>
  <c r="E125"/>
  <c r="F125" s="1"/>
  <c r="F124"/>
  <c r="E124"/>
  <c r="E123"/>
  <c r="F123" s="1"/>
  <c r="E122"/>
  <c r="E139"/>
  <c r="F139" s="1"/>
  <c r="G139" s="1"/>
  <c r="E140"/>
  <c r="F140" s="1"/>
  <c r="G140" s="1"/>
  <c r="E141"/>
  <c r="F141" s="1"/>
  <c r="G141" s="1"/>
  <c r="E142"/>
  <c r="F142" s="1"/>
  <c r="G142" s="1"/>
  <c r="E143"/>
  <c r="F143" s="1"/>
  <c r="G143" s="1"/>
  <c r="E144"/>
  <c r="F144" s="1"/>
  <c r="G144" s="1"/>
  <c r="E145"/>
  <c r="F145" s="1"/>
  <c r="G145" s="1"/>
  <c r="E146"/>
  <c r="E147"/>
  <c r="F147"/>
  <c r="G147" s="1"/>
  <c r="C148"/>
  <c r="E148"/>
  <c r="D148" s="1"/>
  <c r="F149"/>
  <c r="G149"/>
  <c r="E150"/>
  <c r="F150"/>
  <c r="G150" s="1"/>
  <c r="E153"/>
  <c r="L4" i="6"/>
  <c r="L2"/>
  <c r="C27"/>
  <c r="G122" i="7" l="1"/>
  <c r="G130"/>
  <c r="F122"/>
  <c r="G124"/>
  <c r="F126"/>
  <c r="G126" s="1"/>
  <c r="G128"/>
  <c r="F130"/>
  <c r="G133"/>
  <c r="E114"/>
  <c r="E118" s="1"/>
  <c r="F106"/>
  <c r="G106" s="1"/>
  <c r="G108"/>
  <c r="F110"/>
  <c r="G110" s="1"/>
  <c r="G112"/>
  <c r="G107"/>
  <c r="G109"/>
  <c r="G111"/>
  <c r="G113"/>
  <c r="F105"/>
  <c r="G105" s="1"/>
  <c r="F116"/>
  <c r="G116" s="1"/>
  <c r="G123"/>
  <c r="G125"/>
  <c r="G127"/>
  <c r="G129"/>
  <c r="E131"/>
  <c r="E152"/>
  <c r="F148"/>
  <c r="G148" s="1"/>
  <c r="F146"/>
  <c r="G146" s="1"/>
  <c r="C32" i="6"/>
  <c r="C30"/>
  <c r="C29"/>
  <c r="E31"/>
  <c r="C31"/>
  <c r="E167" i="7"/>
  <c r="F167" s="1"/>
  <c r="G167" s="1"/>
  <c r="F166"/>
  <c r="E170"/>
  <c r="G166"/>
  <c r="C165"/>
  <c r="E164"/>
  <c r="F164" s="1"/>
  <c r="E163"/>
  <c r="F163" s="1"/>
  <c r="E162"/>
  <c r="F162" s="1"/>
  <c r="E161"/>
  <c r="F161" s="1"/>
  <c r="G161" s="1"/>
  <c r="E160"/>
  <c r="F160" s="1"/>
  <c r="E159"/>
  <c r="F159" s="1"/>
  <c r="E158"/>
  <c r="F158" s="1"/>
  <c r="E157"/>
  <c r="F157" s="1"/>
  <c r="G157" s="1"/>
  <c r="E156"/>
  <c r="F156" s="1"/>
  <c r="F183"/>
  <c r="G183" s="1"/>
  <c r="E187"/>
  <c r="F184"/>
  <c r="C182"/>
  <c r="E181"/>
  <c r="F181" s="1"/>
  <c r="E180"/>
  <c r="E179"/>
  <c r="F179" s="1"/>
  <c r="E178"/>
  <c r="F178" s="1"/>
  <c r="E177"/>
  <c r="F177" s="1"/>
  <c r="E176"/>
  <c r="E175"/>
  <c r="F175" s="1"/>
  <c r="E174"/>
  <c r="F174" s="1"/>
  <c r="E173"/>
  <c r="D114" l="1"/>
  <c r="F114"/>
  <c r="G114" s="1"/>
  <c r="F131"/>
  <c r="G131" s="1"/>
  <c r="D131"/>
  <c r="E135"/>
  <c r="D31" i="6"/>
  <c r="G160" i="7"/>
  <c r="G156"/>
  <c r="G163"/>
  <c r="G164"/>
  <c r="G159"/>
  <c r="E165"/>
  <c r="G158"/>
  <c r="G162"/>
  <c r="E182"/>
  <c r="E186" s="1"/>
  <c r="G174"/>
  <c r="F176"/>
  <c r="G176" s="1"/>
  <c r="G178"/>
  <c r="F180"/>
  <c r="G180" s="1"/>
  <c r="G184"/>
  <c r="G175"/>
  <c r="G177"/>
  <c r="G179"/>
  <c r="G181"/>
  <c r="F173"/>
  <c r="G173" s="1"/>
  <c r="E169" l="1"/>
  <c r="D165"/>
  <c r="F165"/>
  <c r="G165" s="1"/>
  <c r="F182"/>
  <c r="G182" s="1"/>
  <c r="D182"/>
  <c r="G200"/>
  <c r="F200"/>
  <c r="E201"/>
  <c r="F201" s="1"/>
  <c r="C199"/>
  <c r="E198"/>
  <c r="E197"/>
  <c r="E196"/>
  <c r="E195"/>
  <c r="F195" s="1"/>
  <c r="E194"/>
  <c r="E193"/>
  <c r="E192"/>
  <c r="F192" s="1"/>
  <c r="E191"/>
  <c r="F191" s="1"/>
  <c r="E190"/>
  <c r="E24" i="8"/>
  <c r="F24" s="1"/>
  <c r="E22"/>
  <c r="F22" s="1"/>
  <c r="F20"/>
  <c r="E18"/>
  <c r="F18" s="1"/>
  <c r="F16"/>
  <c r="F14"/>
  <c r="F12"/>
  <c r="E10"/>
  <c r="F10" s="1"/>
  <c r="F9"/>
  <c r="E8"/>
  <c r="F4"/>
  <c r="G4" s="1"/>
  <c r="G3"/>
  <c r="J27" i="6"/>
  <c r="F8" i="8" l="1"/>
  <c r="G8" s="1"/>
  <c r="E27"/>
  <c r="F27" s="1"/>
  <c r="G5"/>
  <c r="F7"/>
  <c r="G7" s="1"/>
  <c r="G9"/>
  <c r="F11"/>
  <c r="G11" s="1"/>
  <c r="G13"/>
  <c r="G15"/>
  <c r="G17"/>
  <c r="G21"/>
  <c r="F23"/>
  <c r="G23" s="1"/>
  <c r="G19"/>
  <c r="E199" i="7"/>
  <c r="F199" s="1"/>
  <c r="G199" s="1"/>
  <c r="G191"/>
  <c r="F193"/>
  <c r="G193" s="1"/>
  <c r="G195"/>
  <c r="F197"/>
  <c r="G197" s="1"/>
  <c r="G192"/>
  <c r="F190"/>
  <c r="G190" s="1"/>
  <c r="F194"/>
  <c r="G194" s="1"/>
  <c r="F196"/>
  <c r="G196" s="1"/>
  <c r="F198"/>
  <c r="G198" s="1"/>
  <c r="G201"/>
  <c r="E204"/>
  <c r="G6" i="8"/>
  <c r="G10"/>
  <c r="H9" s="1"/>
  <c r="G12"/>
  <c r="G14"/>
  <c r="G16"/>
  <c r="G18"/>
  <c r="H17" s="1"/>
  <c r="G20"/>
  <c r="G22"/>
  <c r="G24"/>
  <c r="G26"/>
  <c r="H3"/>
  <c r="F25" i="6"/>
  <c r="E26"/>
  <c r="F217" i="7"/>
  <c r="C216"/>
  <c r="E215"/>
  <c r="E217"/>
  <c r="E221" s="1"/>
  <c r="E218"/>
  <c r="F218" s="1"/>
  <c r="E214"/>
  <c r="F214" s="1"/>
  <c r="E213"/>
  <c r="E212"/>
  <c r="F212" s="1"/>
  <c r="E211"/>
  <c r="E210"/>
  <c r="F210" s="1"/>
  <c r="E209"/>
  <c r="F209" s="1"/>
  <c r="E208"/>
  <c r="F208" s="1"/>
  <c r="E207"/>
  <c r="H15" i="8" l="1"/>
  <c r="H11"/>
  <c r="E216" i="7"/>
  <c r="D216" s="1"/>
  <c r="H25" i="8"/>
  <c r="H7"/>
  <c r="H21"/>
  <c r="H19"/>
  <c r="H5"/>
  <c r="D199" i="7"/>
  <c r="E203"/>
  <c r="H13" i="8"/>
  <c r="F215" i="7"/>
  <c r="G215" s="1"/>
  <c r="G218"/>
  <c r="F207"/>
  <c r="G207" s="1"/>
  <c r="G209"/>
  <c r="F211"/>
  <c r="G211" s="1"/>
  <c r="F213"/>
  <c r="G213" s="1"/>
  <c r="G208"/>
  <c r="G210"/>
  <c r="G212"/>
  <c r="G214"/>
  <c r="G217"/>
  <c r="F216" l="1"/>
  <c r="G216" s="1"/>
  <c r="E220"/>
  <c r="C28" i="4"/>
  <c r="E233" i="7" l="1"/>
  <c r="F233"/>
  <c r="E231"/>
  <c r="E226"/>
  <c r="F226" s="1"/>
  <c r="E234"/>
  <c r="C232"/>
  <c r="F231"/>
  <c r="E230"/>
  <c r="F230" s="1"/>
  <c r="E229"/>
  <c r="F229" s="1"/>
  <c r="E228"/>
  <c r="F228" s="1"/>
  <c r="E227"/>
  <c r="F227" s="1"/>
  <c r="E225"/>
  <c r="F225" s="1"/>
  <c r="E224"/>
  <c r="F224" s="1"/>
  <c r="G233" l="1"/>
  <c r="E237"/>
  <c r="G225"/>
  <c r="G229"/>
  <c r="G227"/>
  <c r="G231"/>
  <c r="F234"/>
  <c r="G234" s="1"/>
  <c r="G224"/>
  <c r="G226"/>
  <c r="G228"/>
  <c r="G230"/>
  <c r="E232"/>
  <c r="E236" s="1"/>
  <c r="F232" l="1"/>
  <c r="G232" s="1"/>
  <c r="D232"/>
  <c r="F251" l="1"/>
  <c r="G251" s="1"/>
  <c r="E252"/>
  <c r="F252" s="1"/>
  <c r="E255"/>
  <c r="C250"/>
  <c r="E249"/>
  <c r="F249" s="1"/>
  <c r="E248"/>
  <c r="F248" s="1"/>
  <c r="E247"/>
  <c r="E246"/>
  <c r="F246" s="1"/>
  <c r="E245"/>
  <c r="F245" s="1"/>
  <c r="E244"/>
  <c r="F244" s="1"/>
  <c r="E243"/>
  <c r="E242"/>
  <c r="E274"/>
  <c r="E271"/>
  <c r="F271" s="1"/>
  <c r="F270"/>
  <c r="G270" s="1"/>
  <c r="C269"/>
  <c r="E268"/>
  <c r="F268" s="1"/>
  <c r="E267"/>
  <c r="E266"/>
  <c r="F266" s="1"/>
  <c r="E265"/>
  <c r="F265" s="1"/>
  <c r="E264"/>
  <c r="F264" s="1"/>
  <c r="E263"/>
  <c r="E262"/>
  <c r="F262" s="1"/>
  <c r="E261"/>
  <c r="F261" s="1"/>
  <c r="E260"/>
  <c r="E294"/>
  <c r="F293"/>
  <c r="E291"/>
  <c r="F290"/>
  <c r="G290" s="1"/>
  <c r="K289"/>
  <c r="C289"/>
  <c r="E288"/>
  <c r="E287"/>
  <c r="F287" s="1"/>
  <c r="E286"/>
  <c r="E285"/>
  <c r="E284"/>
  <c r="E283"/>
  <c r="E282"/>
  <c r="F282" s="1"/>
  <c r="E281"/>
  <c r="F281" s="1"/>
  <c r="E280"/>
  <c r="E312"/>
  <c r="F311"/>
  <c r="E309"/>
  <c r="F308"/>
  <c r="G308" s="1"/>
  <c r="K307"/>
  <c r="C307"/>
  <c r="E306"/>
  <c r="E305"/>
  <c r="E304"/>
  <c r="E303"/>
  <c r="E302"/>
  <c r="E301"/>
  <c r="E300"/>
  <c r="F300" s="1"/>
  <c r="E299"/>
  <c r="F299" s="1"/>
  <c r="E298"/>
  <c r="E20" i="6"/>
  <c r="E307" i="7" l="1"/>
  <c r="D307" s="1"/>
  <c r="E269"/>
  <c r="E289"/>
  <c r="G261"/>
  <c r="F263"/>
  <c r="G263" s="1"/>
  <c r="G265"/>
  <c r="F267"/>
  <c r="G267" s="1"/>
  <c r="E250"/>
  <c r="F243"/>
  <c r="G243" s="1"/>
  <c r="G245"/>
  <c r="F247"/>
  <c r="G247" s="1"/>
  <c r="G249"/>
  <c r="G244"/>
  <c r="G246"/>
  <c r="G248"/>
  <c r="G252"/>
  <c r="F242"/>
  <c r="G242" s="1"/>
  <c r="E273"/>
  <c r="F269"/>
  <c r="G269" s="1"/>
  <c r="D269"/>
  <c r="G262"/>
  <c r="G264"/>
  <c r="G266"/>
  <c r="G268"/>
  <c r="G271"/>
  <c r="F260"/>
  <c r="G260" s="1"/>
  <c r="E293"/>
  <c r="F289"/>
  <c r="G289" s="1"/>
  <c r="D289"/>
  <c r="G281"/>
  <c r="I281" s="1"/>
  <c r="G282"/>
  <c r="I282" s="1"/>
  <c r="G287"/>
  <c r="I287" s="1"/>
  <c r="F280"/>
  <c r="G280" s="1"/>
  <c r="I280" s="1"/>
  <c r="F283"/>
  <c r="G283" s="1"/>
  <c r="I283" s="1"/>
  <c r="F284"/>
  <c r="G284" s="1"/>
  <c r="I284" s="1"/>
  <c r="F285"/>
  <c r="G285" s="1"/>
  <c r="I285" s="1"/>
  <c r="F286"/>
  <c r="G286" s="1"/>
  <c r="I286" s="1"/>
  <c r="F288"/>
  <c r="G288" s="1"/>
  <c r="I288" s="1"/>
  <c r="F291"/>
  <c r="G291" s="1"/>
  <c r="I291" s="1"/>
  <c r="E311"/>
  <c r="F307"/>
  <c r="G307" s="1"/>
  <c r="G299"/>
  <c r="I299" s="1"/>
  <c r="G300"/>
  <c r="I300" s="1"/>
  <c r="F298"/>
  <c r="F301"/>
  <c r="G301" s="1"/>
  <c r="I301" s="1"/>
  <c r="F302"/>
  <c r="G302" s="1"/>
  <c r="I302" s="1"/>
  <c r="F303"/>
  <c r="G303" s="1"/>
  <c r="I303" s="1"/>
  <c r="F304"/>
  <c r="G304" s="1"/>
  <c r="I304" s="1"/>
  <c r="F305"/>
  <c r="G305" s="1"/>
  <c r="I305" s="1"/>
  <c r="F306"/>
  <c r="G306" s="1"/>
  <c r="I306" s="1"/>
  <c r="F309"/>
  <c r="G309" s="1"/>
  <c r="I309" s="1"/>
  <c r="G298"/>
  <c r="I298" s="1"/>
  <c r="F250" l="1"/>
  <c r="G250" s="1"/>
  <c r="E254"/>
  <c r="D250"/>
  <c r="F326"/>
  <c r="G326" s="1"/>
  <c r="E330"/>
  <c r="K325"/>
  <c r="C325" l="1"/>
  <c r="E318"/>
  <c r="F318" s="1"/>
  <c r="G318" s="1"/>
  <c r="I318" s="1"/>
  <c r="E319"/>
  <c r="F319" s="1"/>
  <c r="G319" s="1"/>
  <c r="I319" s="1"/>
  <c r="E320"/>
  <c r="F320" s="1"/>
  <c r="G320" s="1"/>
  <c r="I320" s="1"/>
  <c r="E321"/>
  <c r="F321" s="1"/>
  <c r="G321" s="1"/>
  <c r="I321" s="1"/>
  <c r="E322"/>
  <c r="F322" s="1"/>
  <c r="G322" s="1"/>
  <c r="I322" s="1"/>
  <c r="E323"/>
  <c r="F323" s="1"/>
  <c r="E324"/>
  <c r="F324" s="1"/>
  <c r="G324" s="1"/>
  <c r="I324" s="1"/>
  <c r="E327"/>
  <c r="F327" s="1"/>
  <c r="G327" s="1"/>
  <c r="I327" s="1"/>
  <c r="E317"/>
  <c r="F317" s="1"/>
  <c r="G317" s="1"/>
  <c r="I317" s="1"/>
  <c r="E316"/>
  <c r="F316" s="1"/>
  <c r="G316" s="1"/>
  <c r="I316" s="1"/>
  <c r="F26" i="6"/>
  <c r="E24"/>
  <c r="F23"/>
  <c r="F22"/>
  <c r="F21"/>
  <c r="F19"/>
  <c r="E18"/>
  <c r="F16"/>
  <c r="F15"/>
  <c r="E14"/>
  <c r="F14" s="1"/>
  <c r="E13"/>
  <c r="E12"/>
  <c r="E30" s="1"/>
  <c r="D30" s="1"/>
  <c r="F11"/>
  <c r="F10"/>
  <c r="F7"/>
  <c r="F6"/>
  <c r="L64" i="1"/>
  <c r="J67"/>
  <c r="J66"/>
  <c r="J65"/>
  <c r="J64"/>
  <c r="H67"/>
  <c r="H66"/>
  <c r="H65"/>
  <c r="H64"/>
  <c r="F67"/>
  <c r="F66"/>
  <c r="F65"/>
  <c r="F64"/>
  <c r="D67"/>
  <c r="D66"/>
  <c r="D65"/>
  <c r="D64"/>
  <c r="S65"/>
  <c r="S64"/>
  <c r="S63"/>
  <c r="R65"/>
  <c r="S62" s="1"/>
  <c r="R64"/>
  <c r="R63"/>
  <c r="R62"/>
  <c r="R61"/>
  <c r="R60"/>
  <c r="R59"/>
  <c r="R58"/>
  <c r="R57"/>
  <c r="O56"/>
  <c r="R56" s="1"/>
  <c r="E4" i="5"/>
  <c r="E6"/>
  <c r="E8"/>
  <c r="E10"/>
  <c r="E12"/>
  <c r="E14"/>
  <c r="I15"/>
  <c r="I17"/>
  <c r="I19"/>
  <c r="I21"/>
  <c r="I23"/>
  <c r="I25"/>
  <c r="D26"/>
  <c r="D24"/>
  <c r="D22"/>
  <c r="D20"/>
  <c r="D18"/>
  <c r="D16"/>
  <c r="D25"/>
  <c r="D23"/>
  <c r="D21"/>
  <c r="D19"/>
  <c r="D17"/>
  <c r="D15"/>
  <c r="C25"/>
  <c r="C23"/>
  <c r="C21"/>
  <c r="C19"/>
  <c r="C17"/>
  <c r="C26"/>
  <c r="C24"/>
  <c r="C22"/>
  <c r="C20"/>
  <c r="C18"/>
  <c r="C16"/>
  <c r="C15"/>
  <c r="D13"/>
  <c r="D11"/>
  <c r="D9"/>
  <c r="D7"/>
  <c r="D5"/>
  <c r="D3"/>
  <c r="C13"/>
  <c r="C11"/>
  <c r="E11" s="1"/>
  <c r="C9"/>
  <c r="E9" s="1"/>
  <c r="C7"/>
  <c r="C5"/>
  <c r="E25"/>
  <c r="D16" i="4"/>
  <c r="D14"/>
  <c r="D12"/>
  <c r="D15"/>
  <c r="D13"/>
  <c r="D11"/>
  <c r="D10"/>
  <c r="D9"/>
  <c r="D8"/>
  <c r="D7"/>
  <c r="D6"/>
  <c r="D5"/>
  <c r="D4"/>
  <c r="D3"/>
  <c r="C18"/>
  <c r="C17"/>
  <c r="C16"/>
  <c r="E16" s="1"/>
  <c r="F16" s="1"/>
  <c r="G16" s="1"/>
  <c r="C15"/>
  <c r="C14"/>
  <c r="C13"/>
  <c r="C12"/>
  <c r="C11"/>
  <c r="C10"/>
  <c r="C9"/>
  <c r="C8"/>
  <c r="E8" s="1"/>
  <c r="F8" s="1"/>
  <c r="G8" s="1"/>
  <c r="C7"/>
  <c r="C6"/>
  <c r="E6" s="1"/>
  <c r="C5"/>
  <c r="E5" s="1"/>
  <c r="F5" s="1"/>
  <c r="G5" s="1"/>
  <c r="C4"/>
  <c r="E4" s="1"/>
  <c r="F4" s="1"/>
  <c r="C3"/>
  <c r="F7"/>
  <c r="G7" s="1"/>
  <c r="G9"/>
  <c r="F10"/>
  <c r="G10" s="1"/>
  <c r="G11"/>
  <c r="F12"/>
  <c r="G12" s="1"/>
  <c r="G13"/>
  <c r="G15"/>
  <c r="F17"/>
  <c r="G17" s="1"/>
  <c r="F18"/>
  <c r="G18" s="1"/>
  <c r="F19"/>
  <c r="F20"/>
  <c r="G20" s="1"/>
  <c r="G21"/>
  <c r="E22"/>
  <c r="L65" i="1" s="1"/>
  <c r="F23" i="4"/>
  <c r="G23" s="1"/>
  <c r="E24"/>
  <c r="L66" i="1" s="1"/>
  <c r="G25" i="4"/>
  <c r="E26"/>
  <c r="L67" i="1" s="1"/>
  <c r="F18" i="6" l="1"/>
  <c r="E32"/>
  <c r="D32" s="1"/>
  <c r="F13"/>
  <c r="E29"/>
  <c r="D29" s="1"/>
  <c r="E7" i="5"/>
  <c r="E27" i="6"/>
  <c r="F27" s="1"/>
  <c r="G27" s="1"/>
  <c r="C29" i="4"/>
  <c r="C27"/>
  <c r="E5" i="5"/>
  <c r="E13"/>
  <c r="F13" s="1"/>
  <c r="G13" s="1"/>
  <c r="C29"/>
  <c r="H17" i="4"/>
  <c r="H11"/>
  <c r="H9"/>
  <c r="E14"/>
  <c r="F14" s="1"/>
  <c r="G14" s="1"/>
  <c r="H13" s="1"/>
  <c r="E22" i="5"/>
  <c r="F22" s="1"/>
  <c r="G22" s="1"/>
  <c r="E26"/>
  <c r="E16"/>
  <c r="F16" s="1"/>
  <c r="G16" s="1"/>
  <c r="E20"/>
  <c r="H15" i="4"/>
  <c r="F26"/>
  <c r="G26" s="1"/>
  <c r="H25" s="1"/>
  <c r="E325" i="7"/>
  <c r="G323"/>
  <c r="I323" s="1"/>
  <c r="F24" i="4"/>
  <c r="G24" s="1"/>
  <c r="H23" s="1"/>
  <c r="F3" i="6"/>
  <c r="G3" s="1"/>
  <c r="G6"/>
  <c r="F8"/>
  <c r="G8" s="1"/>
  <c r="G10"/>
  <c r="F12"/>
  <c r="G12" s="1"/>
  <c r="G14"/>
  <c r="G18"/>
  <c r="F20"/>
  <c r="G20" s="1"/>
  <c r="G22"/>
  <c r="F24"/>
  <c r="G24" s="1"/>
  <c r="G26"/>
  <c r="G16"/>
  <c r="G13"/>
  <c r="G25"/>
  <c r="G5"/>
  <c r="G7"/>
  <c r="G9"/>
  <c r="G11"/>
  <c r="G15"/>
  <c r="G17"/>
  <c r="G19"/>
  <c r="G21"/>
  <c r="G23"/>
  <c r="F4"/>
  <c r="G4" s="1"/>
  <c r="L10" s="1"/>
  <c r="H7" i="4"/>
  <c r="F6"/>
  <c r="G6" s="1"/>
  <c r="H5" s="1"/>
  <c r="F22"/>
  <c r="G22" s="1"/>
  <c r="H21" s="1"/>
  <c r="B66" i="1"/>
  <c r="S66" s="1"/>
  <c r="B67"/>
  <c r="S56"/>
  <c r="S57"/>
  <c r="S58"/>
  <c r="S59"/>
  <c r="S60"/>
  <c r="S61"/>
  <c r="G19" i="4"/>
  <c r="H19" s="1"/>
  <c r="F4" i="5"/>
  <c r="G4" s="1"/>
  <c r="F6"/>
  <c r="G6" s="1"/>
  <c r="F8"/>
  <c r="G8" s="1"/>
  <c r="F10"/>
  <c r="G10" s="1"/>
  <c r="F12"/>
  <c r="G12" s="1"/>
  <c r="F14"/>
  <c r="G14" s="1"/>
  <c r="G15"/>
  <c r="F5"/>
  <c r="G5" s="1"/>
  <c r="F7"/>
  <c r="G7" s="1"/>
  <c r="F9"/>
  <c r="G9" s="1"/>
  <c r="F11"/>
  <c r="G11" s="1"/>
  <c r="F17"/>
  <c r="G17" s="1"/>
  <c r="F18"/>
  <c r="G18" s="1"/>
  <c r="F19"/>
  <c r="G19" s="1"/>
  <c r="F20"/>
  <c r="G20" s="1"/>
  <c r="G21"/>
  <c r="G23"/>
  <c r="G24"/>
  <c r="F25"/>
  <c r="G25" s="1"/>
  <c r="F26"/>
  <c r="G26" s="1"/>
  <c r="G4" i="4"/>
  <c r="G3"/>
  <c r="L57" i="1"/>
  <c r="L56"/>
  <c r="F56"/>
  <c r="F57"/>
  <c r="F58"/>
  <c r="L58"/>
  <c r="N37"/>
  <c r="N34"/>
  <c r="F46"/>
  <c r="L47"/>
  <c r="F47"/>
  <c r="F48"/>
  <c r="F49"/>
  <c r="L50"/>
  <c r="F51"/>
  <c r="L51"/>
  <c r="L49"/>
  <c r="L48"/>
  <c r="L46"/>
  <c r="F50"/>
  <c r="L7" i="6" l="1"/>
  <c r="G27" i="4"/>
  <c r="H3"/>
  <c r="G29" s="1"/>
  <c r="H21" i="6"/>
  <c r="H17"/>
  <c r="H25"/>
  <c r="F325" i="7"/>
  <c r="G325" s="1"/>
  <c r="E329"/>
  <c r="D325"/>
  <c r="H15" i="6"/>
  <c r="H23"/>
  <c r="H19"/>
  <c r="H13"/>
  <c r="H7"/>
  <c r="H11"/>
  <c r="H9"/>
  <c r="H3"/>
  <c r="H5"/>
  <c r="S67" i="1"/>
  <c r="R67"/>
  <c r="H7" i="5"/>
  <c r="H5"/>
  <c r="S68" i="1"/>
  <c r="H9" i="5"/>
  <c r="H11"/>
  <c r="H13"/>
  <c r="H15"/>
  <c r="H25"/>
  <c r="H23"/>
  <c r="H21"/>
  <c r="H19"/>
  <c r="H17"/>
  <c r="F41" i="1"/>
  <c r="F42"/>
  <c r="F43"/>
  <c r="F44"/>
  <c r="F45"/>
  <c r="B40"/>
  <c r="F14" i="3"/>
  <c r="C8" i="2" s="1"/>
  <c r="E14" i="3"/>
  <c r="C7" i="2" s="1"/>
  <c r="D14" i="3"/>
  <c r="C6" i="2" s="1"/>
  <c r="C14" i="3"/>
  <c r="C5" i="2" s="1"/>
  <c r="B14" i="3"/>
  <c r="C4" i="2" s="1"/>
  <c r="B16" i="1"/>
  <c r="D15"/>
  <c r="D26"/>
  <c r="H33"/>
  <c r="B33"/>
  <c r="N16"/>
  <c r="H16"/>
  <c r="L32"/>
  <c r="L23"/>
  <c r="L24"/>
  <c r="L25"/>
  <c r="L26"/>
  <c r="L27"/>
  <c r="L28"/>
  <c r="L29"/>
  <c r="L30"/>
  <c r="L31"/>
  <c r="L22"/>
  <c r="L21"/>
  <c r="F32"/>
  <c r="F23"/>
  <c r="F24"/>
  <c r="F25"/>
  <c r="F27"/>
  <c r="F28"/>
  <c r="F29"/>
  <c r="F30"/>
  <c r="F31"/>
  <c r="F22"/>
  <c r="S15"/>
  <c r="S14"/>
  <c r="S6"/>
  <c r="S7"/>
  <c r="S8"/>
  <c r="S9"/>
  <c r="S10"/>
  <c r="S11"/>
  <c r="S12"/>
  <c r="S13"/>
  <c r="S5"/>
  <c r="S4"/>
  <c r="R15"/>
  <c r="R6"/>
  <c r="R7"/>
  <c r="R8"/>
  <c r="R9"/>
  <c r="R10"/>
  <c r="R11"/>
  <c r="R12"/>
  <c r="R13"/>
  <c r="R14"/>
  <c r="R5"/>
  <c r="R4"/>
  <c r="M15"/>
  <c r="M9"/>
  <c r="M10"/>
  <c r="M11"/>
  <c r="M12"/>
  <c r="M13"/>
  <c r="M14"/>
  <c r="M8"/>
  <c r="L15"/>
  <c r="L9"/>
  <c r="L10"/>
  <c r="L11"/>
  <c r="L12"/>
  <c r="L13"/>
  <c r="L14"/>
  <c r="L8"/>
  <c r="L6"/>
  <c r="L7"/>
  <c r="L5"/>
  <c r="L4"/>
  <c r="F12"/>
  <c r="F13"/>
  <c r="F14"/>
  <c r="F11"/>
  <c r="F9"/>
  <c r="F8"/>
  <c r="G7"/>
  <c r="F7"/>
  <c r="G10"/>
  <c r="F10"/>
  <c r="F6"/>
  <c r="F5"/>
  <c r="F4"/>
  <c r="F33" l="1"/>
  <c r="G28" i="4"/>
  <c r="L16" i="1"/>
  <c r="J16" s="1"/>
  <c r="B5" i="2" s="1"/>
  <c r="R16" i="1"/>
  <c r="P16" s="1"/>
  <c r="B6" i="2" s="1"/>
  <c r="D33" i="1"/>
  <c r="B7" i="2" s="1"/>
  <c r="L33" i="1"/>
  <c r="J33" s="1"/>
  <c r="B8" i="2" s="1"/>
  <c r="F16" i="1"/>
  <c r="D16" s="1"/>
  <c r="B4" i="2" s="1"/>
  <c r="B52" i="1"/>
  <c r="O35" s="1"/>
  <c r="C3" i="5"/>
  <c r="C27" s="1"/>
  <c r="F40" i="1"/>
  <c r="E3" i="5" l="1"/>
  <c r="F3" s="1"/>
  <c r="G3" s="1"/>
  <c r="H3" l="1"/>
  <c r="G27"/>
</calcChain>
</file>

<file path=xl/sharedStrings.xml><?xml version="1.0" encoding="utf-8"?>
<sst xmlns="http://schemas.openxmlformats.org/spreadsheetml/2006/main" count="766" uniqueCount="130">
  <si>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</si>
  <si>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</si>
  <si>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</si>
  <si>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</si>
  <si>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</si>
  <si>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</si>
  <si>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</si>
  <si>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</si>
  <si>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</si>
  <si>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</si>
  <si>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</si>
  <si>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</si>
  <si>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Расход эл. эн., кВт*ч</t>
  </si>
  <si>
    <t>Тариф, руб/кВт*ч</t>
  </si>
  <si>
    <t>Год</t>
  </si>
  <si>
    <t>Средневзвешенный тариф на электроэнергию, руб/кВт*ч</t>
  </si>
  <si>
    <r>
      <t>Средневзвешеные тарифы на электроэнергию и газ за 2008</t>
    </r>
    <r>
      <rPr>
        <sz val="16"/>
        <color theme="1"/>
        <rFont val="Calibri"/>
        <family val="2"/>
        <charset val="204"/>
      </rPr>
      <t>÷</t>
    </r>
    <r>
      <rPr>
        <sz val="16"/>
        <color theme="1"/>
        <rFont val="Times New Roman"/>
        <family val="1"/>
        <charset val="204"/>
      </rPr>
      <t>2012гг.</t>
    </r>
  </si>
  <si>
    <t>Средневзвешенный тариф на газ (поставка+транспортировка), руб/т.м3</t>
  </si>
  <si>
    <t>2013 (электроэнергия)</t>
  </si>
  <si>
    <t>2013 (мощность)</t>
  </si>
  <si>
    <t>БЕЗ НДС</t>
  </si>
  <si>
    <t>база</t>
  </si>
  <si>
    <t>2014 (электроэнергия)</t>
  </si>
  <si>
    <t>2014 (мощность)</t>
  </si>
  <si>
    <t>Стоимость, руб (без НДС)</t>
  </si>
  <si>
    <t>тариф</t>
  </si>
  <si>
    <t>без НДС</t>
  </si>
  <si>
    <t>НДС</t>
  </si>
  <si>
    <t>Всего</t>
  </si>
  <si>
    <t>Итого</t>
  </si>
  <si>
    <t>Стоимость эл. эн. в 2014 для ОАО "ШЗГ"</t>
  </si>
  <si>
    <t>Электроэнергия ВН3</t>
  </si>
  <si>
    <t>кВт*ч/кВт</t>
  </si>
  <si>
    <t>Мощность</t>
  </si>
  <si>
    <t>Стоимость эл. эн. в 2013 для ОАО "ШЗГ"</t>
  </si>
  <si>
    <t>Электроэнергия СН2</t>
  </si>
  <si>
    <t>Электроэнергия ВН1</t>
  </si>
  <si>
    <t>№2701-50635</t>
  </si>
  <si>
    <t>от 31.10.14</t>
  </si>
  <si>
    <t>№2701/59207</t>
  </si>
  <si>
    <t>от 30.11.14</t>
  </si>
  <si>
    <t>№2701/65956</t>
  </si>
  <si>
    <t>от 31.12.14</t>
  </si>
  <si>
    <t>Тариф, руб/кВт</t>
  </si>
  <si>
    <t>Мощность, кВт</t>
  </si>
  <si>
    <t>Стоимость эл. эн. в 2015 для ОАО "ШЗГ"</t>
  </si>
  <si>
    <t>2701/3261</t>
  </si>
  <si>
    <t>от 31.01.2015</t>
  </si>
  <si>
    <t>2701/10449</t>
  </si>
  <si>
    <t>от 28.02.2015</t>
  </si>
  <si>
    <t>2701/16376</t>
  </si>
  <si>
    <t>от 31.03.15</t>
  </si>
  <si>
    <t>2701/21827</t>
  </si>
  <si>
    <t>от 30.04.15</t>
  </si>
  <si>
    <t>2701/27482</t>
  </si>
  <si>
    <t>от 31.05.15</t>
  </si>
  <si>
    <t>2701/32230</t>
  </si>
  <si>
    <t>от30.06.15</t>
  </si>
  <si>
    <t>расчёт</t>
  </si>
  <si>
    <t>по акту</t>
  </si>
  <si>
    <t>по сч.-ф.</t>
  </si>
  <si>
    <t>расч.-сч.ф.</t>
  </si>
  <si>
    <t>2701/34309</t>
  </si>
  <si>
    <t>от 31.07.15</t>
  </si>
  <si>
    <t>2701/42461</t>
  </si>
  <si>
    <t>от 31.08.15</t>
  </si>
  <si>
    <t>- ВНИМАНИЕ</t>
  </si>
  <si>
    <t>2701/47633</t>
  </si>
  <si>
    <t>от 30.09.15</t>
  </si>
  <si>
    <t>Стоимость эл. эн. в июле 2015 для ОАО "ШЗГ"</t>
  </si>
  <si>
    <t>Стоимость эл. эн. в июне 2015 для ОАО "ШЗГ"</t>
  </si>
  <si>
    <t>Стоимость эл. эн. в августе 2015 для ОАО "ШЗГ"</t>
  </si>
  <si>
    <t>Стоимость эл. эн. в сентябре 2015 для ОАО "ШЗГ"</t>
  </si>
  <si>
    <t>Стоимость эл. эн. в октябре 2015 для ОАО "ШЗГ"</t>
  </si>
  <si>
    <t>2701/54541</t>
  </si>
  <si>
    <t>от 31.10.15</t>
  </si>
  <si>
    <t>2701/60203</t>
  </si>
  <si>
    <t>от 30.11.15</t>
  </si>
  <si>
    <t>Стоимость эл. эн. в декабре 2015 для АО "ШЗГ"</t>
  </si>
  <si>
    <t>Стоимость эл. эн. в ноябре 2015 для АО "ШЗГ"</t>
  </si>
  <si>
    <t>2701/66010</t>
  </si>
  <si>
    <t>от 31.12.15</t>
  </si>
  <si>
    <t>Стоимость эл. эн. в 2016 для АО "ШЗГ"</t>
  </si>
  <si>
    <t>Стоимость эл. эн. в январе 2016 для АО "ШЗГ"</t>
  </si>
  <si>
    <t>2701/5099/01</t>
  </si>
  <si>
    <t>от 31.01.2016</t>
  </si>
  <si>
    <t>Стоимость эл. эн. в феврале 2016 для АО "ШЗГ"</t>
  </si>
  <si>
    <t>от 29.02.2016</t>
  </si>
  <si>
    <t>2701/8523/02</t>
  </si>
  <si>
    <t>2701/14594/01</t>
  </si>
  <si>
    <t>Стоимость эл. эн. в апреле 2016 для АО "ШЗГ"</t>
  </si>
  <si>
    <t>Стоимость эл. эн. в марте 2016 для АО "ШЗГ"</t>
  </si>
  <si>
    <t>от 31.03.2016</t>
  </si>
  <si>
    <t>от 30.04.2016</t>
  </si>
  <si>
    <t>2701/23537/01</t>
  </si>
  <si>
    <t>27/01/29727/01</t>
  </si>
  <si>
    <t>от 31.05.2016</t>
  </si>
  <si>
    <t>Стоимость эл. эн. в мае 2016 для АО "ШЗГ"</t>
  </si>
  <si>
    <t>Стоимость эл. эн. в июне 2016 для АО "ШЗГ"</t>
  </si>
  <si>
    <t>2701/35900/01</t>
  </si>
  <si>
    <t>от 30.06.2016</t>
  </si>
  <si>
    <t>Стоимость эл. эн. в июле 2016 для АО "ШЗГ"</t>
  </si>
  <si>
    <t>2701/42006/01</t>
  </si>
  <si>
    <t>от 31.07.2016</t>
  </si>
  <si>
    <t>Стоимость эл. эн. в августе 2016 для АО "ШЗГ"</t>
  </si>
  <si>
    <t>август</t>
  </si>
  <si>
    <t>2701/45628/01</t>
  </si>
  <si>
    <t>от 31.08.2016</t>
  </si>
  <si>
    <t>Стоимость эл. эн. в сентябре 2016 для АО "ШЗГ"</t>
  </si>
  <si>
    <t>2701/55148/01</t>
  </si>
  <si>
    <t>от 30.09.2016</t>
  </si>
  <si>
    <t>сентябрь</t>
  </si>
  <si>
    <t>октябрь</t>
  </si>
  <si>
    <t>Стоимость эл. эн. в октябре 2016 для АО "ШЗГ"</t>
  </si>
  <si>
    <t>2701/61143/01</t>
  </si>
  <si>
    <t>31.10.2016</t>
  </si>
  <si>
    <t>Стоимость эл. эн. в ноябре 2016 для АО "ШЗГ"</t>
  </si>
  <si>
    <t>ноябрь</t>
  </si>
  <si>
    <t>2701/64652/01</t>
  </si>
  <si>
    <t>30.11.2016</t>
  </si>
  <si>
    <t>№/дата сч.ф</t>
  </si>
  <si>
    <t>Стоимость эл. эн. в 2017 для АО "ШЗГ"</t>
  </si>
  <si>
    <t>Стоимость эл. эн. В марте 2017 для АО "ШЗГ"</t>
  </si>
  <si>
    <t>март</t>
  </si>
  <si>
    <t>2701/12792/01</t>
  </si>
  <si>
    <t>31.03.17г.</t>
  </si>
  <si>
    <t>28.02.2017 г.</t>
  </si>
  <si>
    <t>2701 / 11298 / 01</t>
  </si>
  <si>
    <t>2701 / 6088 / 01</t>
  </si>
  <si>
    <t>31.01.2017 г.</t>
  </si>
</sst>
</file>

<file path=xl/styles.xml><?xml version="1.0" encoding="utf-8"?>
<styleSheet xmlns="http://schemas.openxmlformats.org/spreadsheetml/2006/main">
  <numFmts count="6">
    <numFmt numFmtId="164" formatCode="0.0000000"/>
    <numFmt numFmtId="165" formatCode="0.0000000000"/>
    <numFmt numFmtId="166" formatCode="0.000"/>
    <numFmt numFmtId="167" formatCode="0.00000"/>
    <numFmt numFmtId="168" formatCode="0.000000"/>
    <numFmt numFmtId="169" formatCode="0.0000000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8" xfId="0" applyFont="1" applyBorder="1"/>
    <xf numFmtId="0" fontId="1" fillId="0" borderId="10" xfId="0" applyFont="1" applyBorder="1"/>
    <xf numFmtId="1" fontId="1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167" fontId="1" fillId="0" borderId="31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34" xfId="0" applyNumberFormat="1" applyFont="1" applyBorder="1" applyAlignment="1">
      <alignment horizontal="center" vertical="center"/>
    </xf>
    <xf numFmtId="2" fontId="1" fillId="0" borderId="35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2" fontId="1" fillId="0" borderId="36" xfId="0" applyNumberFormat="1" applyFont="1" applyBorder="1" applyAlignment="1">
      <alignment horizontal="center" vertical="center"/>
    </xf>
    <xf numFmtId="164" fontId="1" fillId="0" borderId="35" xfId="0" applyNumberFormat="1" applyFont="1" applyBorder="1" applyAlignment="1">
      <alignment horizontal="center" vertical="center"/>
    </xf>
    <xf numFmtId="2" fontId="1" fillId="0" borderId="37" xfId="0" applyNumberFormat="1" applyFont="1" applyBorder="1" applyAlignment="1">
      <alignment horizontal="center" vertical="center"/>
    </xf>
    <xf numFmtId="1" fontId="1" fillId="0" borderId="38" xfId="0" applyNumberFormat="1" applyFont="1" applyBorder="1" applyAlignment="1">
      <alignment horizontal="center" vertical="center"/>
    </xf>
    <xf numFmtId="1" fontId="1" fillId="0" borderId="39" xfId="0" applyNumberFormat="1" applyFont="1" applyBorder="1" applyAlignment="1">
      <alignment horizontal="center" vertical="center"/>
    </xf>
    <xf numFmtId="1" fontId="1" fillId="0" borderId="30" xfId="0" applyNumberFormat="1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35" xfId="0" applyNumberFormat="1" applyFont="1" applyBorder="1" applyAlignment="1">
      <alignment horizontal="center" vertical="center"/>
    </xf>
    <xf numFmtId="166" fontId="1" fillId="0" borderId="40" xfId="0" applyNumberFormat="1" applyFont="1" applyBorder="1" applyAlignment="1">
      <alignment horizontal="center" vertical="center"/>
    </xf>
    <xf numFmtId="164" fontId="1" fillId="0" borderId="39" xfId="0" applyNumberFormat="1" applyFont="1" applyBorder="1" applyAlignment="1">
      <alignment horizontal="center" vertical="center"/>
    </xf>
    <xf numFmtId="166" fontId="1" fillId="0" borderId="32" xfId="0" applyNumberFormat="1" applyFont="1" applyBorder="1" applyAlignment="1">
      <alignment horizontal="center" vertical="center"/>
    </xf>
    <xf numFmtId="166" fontId="1" fillId="0" borderId="36" xfId="0" applyNumberFormat="1" applyFont="1" applyBorder="1" applyAlignment="1">
      <alignment horizontal="center" vertical="center"/>
    </xf>
    <xf numFmtId="2" fontId="1" fillId="0" borderId="40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1" fontId="1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0" fillId="0" borderId="42" xfId="0" applyBorder="1"/>
    <xf numFmtId="0" fontId="0" fillId="0" borderId="43" xfId="0" applyBorder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26" xfId="0" applyBorder="1" applyAlignment="1"/>
    <xf numFmtId="0" fontId="0" fillId="0" borderId="26" xfId="0" applyBorder="1" applyAlignment="1">
      <alignment horizontal="center" vertical="center"/>
    </xf>
    <xf numFmtId="2" fontId="0" fillId="0" borderId="26" xfId="0" applyNumberFormat="1" applyBorder="1"/>
    <xf numFmtId="0" fontId="0" fillId="0" borderId="2" xfId="0" applyBorder="1" applyAlignment="1"/>
    <xf numFmtId="0" fontId="0" fillId="0" borderId="2" xfId="0" applyBorder="1" applyAlignment="1">
      <alignment horizontal="center" vertical="center"/>
    </xf>
    <xf numFmtId="2" fontId="0" fillId="0" borderId="2" xfId="0" applyNumberFormat="1" applyBorder="1"/>
    <xf numFmtId="167" fontId="0" fillId="0" borderId="2" xfId="0" applyNumberFormat="1" applyBorder="1" applyAlignment="1">
      <alignment horizontal="center" vertical="center"/>
    </xf>
    <xf numFmtId="167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2" fontId="0" fillId="0" borderId="46" xfId="0" applyNumberFormat="1" applyBorder="1" applyAlignment="1">
      <alignment horizontal="right" vertical="center"/>
    </xf>
    <xf numFmtId="2" fontId="0" fillId="0" borderId="0" xfId="0" applyNumberFormat="1" applyBorder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6" fillId="0" borderId="0" xfId="0" applyFont="1"/>
    <xf numFmtId="0" fontId="5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0" xfId="0" applyNumberFormat="1"/>
    <xf numFmtId="168" fontId="0" fillId="0" borderId="26" xfId="0" applyNumberFormat="1" applyBorder="1" applyAlignment="1">
      <alignment horizontal="center" vertical="center"/>
    </xf>
    <xf numFmtId="2" fontId="0" fillId="0" borderId="0" xfId="0" applyNumberFormat="1"/>
    <xf numFmtId="1" fontId="0" fillId="2" borderId="47" xfId="0" applyNumberFormat="1" applyFill="1" applyBorder="1" applyAlignment="1">
      <alignment horizontal="center" vertical="center"/>
    </xf>
    <xf numFmtId="167" fontId="0" fillId="2" borderId="47" xfId="0" applyNumberFormat="1" applyFill="1" applyBorder="1" applyAlignment="1">
      <alignment horizontal="center" vertical="center"/>
    </xf>
    <xf numFmtId="2" fontId="0" fillId="2" borderId="47" xfId="0" applyNumberFormat="1" applyFill="1" applyBorder="1"/>
    <xf numFmtId="1" fontId="0" fillId="3" borderId="47" xfId="0" applyNumberFormat="1" applyFill="1" applyBorder="1" applyAlignment="1">
      <alignment horizontal="center" vertical="center"/>
    </xf>
    <xf numFmtId="167" fontId="0" fillId="3" borderId="47" xfId="0" applyNumberFormat="1" applyFill="1" applyBorder="1" applyAlignment="1">
      <alignment horizontal="center" vertical="center"/>
    </xf>
    <xf numFmtId="2" fontId="0" fillId="3" borderId="47" xfId="0" applyNumberFormat="1" applyFill="1" applyBorder="1"/>
    <xf numFmtId="0" fontId="0" fillId="0" borderId="48" xfId="0" applyFill="1" applyBorder="1" applyAlignment="1">
      <alignment horizontal="center" vertical="center"/>
    </xf>
    <xf numFmtId="164" fontId="0" fillId="0" borderId="0" xfId="0" applyNumberFormat="1"/>
    <xf numFmtId="1" fontId="0" fillId="0" borderId="0" xfId="0" applyNumberFormat="1"/>
    <xf numFmtId="2" fontId="0" fillId="4" borderId="2" xfId="0" applyNumberFormat="1" applyFill="1" applyBorder="1"/>
    <xf numFmtId="0" fontId="0" fillId="4" borderId="0" xfId="0" applyFill="1"/>
    <xf numFmtId="49" fontId="0" fillId="3" borderId="0" xfId="0" applyNumberFormat="1" applyFill="1"/>
    <xf numFmtId="169" fontId="0" fillId="0" borderId="0" xfId="0" applyNumberFormat="1"/>
    <xf numFmtId="0" fontId="7" fillId="0" borderId="0" xfId="0" applyFont="1"/>
    <xf numFmtId="0" fontId="8" fillId="0" borderId="0" xfId="0" applyFont="1"/>
    <xf numFmtId="0" fontId="0" fillId="5" borderId="0" xfId="0" applyFill="1"/>
    <xf numFmtId="0" fontId="0" fillId="0" borderId="1" xfId="0" applyBorder="1" applyAlignment="1"/>
    <xf numFmtId="1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0" fontId="0" fillId="0" borderId="45" xfId="0" applyBorder="1" applyAlignment="1"/>
    <xf numFmtId="1" fontId="0" fillId="0" borderId="45" xfId="0" applyNumberFormat="1" applyBorder="1" applyAlignment="1">
      <alignment horizontal="center" vertical="center"/>
    </xf>
    <xf numFmtId="167" fontId="0" fillId="0" borderId="45" xfId="0" applyNumberFormat="1" applyBorder="1" applyAlignment="1">
      <alignment horizontal="center" vertical="center"/>
    </xf>
    <xf numFmtId="2" fontId="0" fillId="5" borderId="45" xfId="0" applyNumberFormat="1" applyFill="1" applyBorder="1"/>
    <xf numFmtId="2" fontId="0" fillId="0" borderId="45" xfId="0" applyNumberFormat="1" applyBorder="1"/>
    <xf numFmtId="0" fontId="0" fillId="0" borderId="0" xfId="0" applyFill="1"/>
    <xf numFmtId="49" fontId="0" fillId="0" borderId="0" xfId="0" applyNumberFormat="1" applyFill="1"/>
    <xf numFmtId="2" fontId="0" fillId="0" borderId="45" xfId="0" applyNumberFormat="1" applyFill="1" applyBorder="1"/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0" fillId="0" borderId="0" xfId="0" applyFont="1"/>
    <xf numFmtId="2" fontId="0" fillId="0" borderId="47" xfId="0" applyNumberFormat="1" applyFill="1" applyBorder="1"/>
    <xf numFmtId="2" fontId="0" fillId="6" borderId="45" xfId="0" applyNumberFormat="1" applyFill="1" applyBorder="1"/>
    <xf numFmtId="0" fontId="0" fillId="3" borderId="42" xfId="0" applyFill="1" applyBorder="1"/>
    <xf numFmtId="0" fontId="0" fillId="3" borderId="43" xfId="0" applyFill="1" applyBorder="1"/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3" borderId="26" xfId="0" applyFill="1" applyBorder="1" applyAlignment="1"/>
    <xf numFmtId="1" fontId="0" fillId="3" borderId="26" xfId="0" applyNumberFormat="1" applyFill="1" applyBorder="1" applyAlignment="1">
      <alignment horizontal="center" vertical="center"/>
    </xf>
    <xf numFmtId="167" fontId="0" fillId="3" borderId="26" xfId="0" applyNumberFormat="1" applyFill="1" applyBorder="1" applyAlignment="1">
      <alignment horizontal="center" vertical="center"/>
    </xf>
    <xf numFmtId="2" fontId="0" fillId="3" borderId="26" xfId="0" applyNumberFormat="1" applyFill="1" applyBorder="1"/>
    <xf numFmtId="0" fontId="0" fillId="3" borderId="1" xfId="0" applyFill="1" applyBorder="1" applyAlignment="1"/>
    <xf numFmtId="1" fontId="0" fillId="3" borderId="1" xfId="0" applyNumberFormat="1" applyFill="1" applyBorder="1" applyAlignment="1">
      <alignment horizontal="center" vertical="center"/>
    </xf>
    <xf numFmtId="167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/>
    <xf numFmtId="0" fontId="0" fillId="3" borderId="0" xfId="0" applyFill="1"/>
    <xf numFmtId="0" fontId="0" fillId="3" borderId="2" xfId="0" applyFill="1" applyBorder="1" applyAlignment="1"/>
    <xf numFmtId="1" fontId="0" fillId="3" borderId="2" xfId="0" applyNumberFormat="1" applyFill="1" applyBorder="1" applyAlignment="1">
      <alignment horizontal="center" vertical="center"/>
    </xf>
    <xf numFmtId="167" fontId="0" fillId="3" borderId="2" xfId="0" applyNumberFormat="1" applyFill="1" applyBorder="1" applyAlignment="1">
      <alignment horizontal="center" vertical="center"/>
    </xf>
    <xf numFmtId="2" fontId="0" fillId="3" borderId="2" xfId="0" applyNumberFormat="1" applyFill="1" applyBorder="1"/>
    <xf numFmtId="0" fontId="0" fillId="3" borderId="45" xfId="0" applyFill="1" applyBorder="1" applyAlignment="1"/>
    <xf numFmtId="1" fontId="0" fillId="3" borderId="45" xfId="0" applyNumberFormat="1" applyFill="1" applyBorder="1" applyAlignment="1">
      <alignment horizontal="center" vertical="center"/>
    </xf>
    <xf numFmtId="167" fontId="0" fillId="3" borderId="45" xfId="0" applyNumberFormat="1" applyFill="1" applyBorder="1" applyAlignment="1">
      <alignment horizontal="center" vertical="center"/>
    </xf>
    <xf numFmtId="2" fontId="0" fillId="3" borderId="45" xfId="0" applyNumberFormat="1" applyFill="1" applyBorder="1"/>
    <xf numFmtId="164" fontId="0" fillId="3" borderId="0" xfId="0" applyNumberFormat="1" applyFill="1"/>
    <xf numFmtId="3" fontId="0" fillId="0" borderId="2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3" borderId="47" xfId="0" applyNumberFormat="1" applyFill="1" applyBorder="1" applyAlignment="1">
      <alignment horizontal="center" vertical="center"/>
    </xf>
    <xf numFmtId="3" fontId="0" fillId="2" borderId="47" xfId="0" applyNumberFormat="1" applyFill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4" fontId="0" fillId="0" borderId="26" xfId="0" applyNumberFormat="1" applyBorder="1"/>
    <xf numFmtId="4" fontId="0" fillId="0" borderId="1" xfId="0" applyNumberFormat="1" applyBorder="1"/>
    <xf numFmtId="4" fontId="0" fillId="0" borderId="2" xfId="0" applyNumberFormat="1" applyBorder="1"/>
    <xf numFmtId="4" fontId="0" fillId="3" borderId="47" xfId="0" applyNumberFormat="1" applyFill="1" applyBorder="1"/>
    <xf numFmtId="4" fontId="0" fillId="2" borderId="47" xfId="0" applyNumberFormat="1" applyFill="1" applyBorder="1"/>
    <xf numFmtId="4" fontId="0" fillId="0" borderId="45" xfId="0" applyNumberFormat="1" applyFill="1" applyBorder="1"/>
    <xf numFmtId="4" fontId="0" fillId="0" borderId="45" xfId="0" applyNumberFormat="1" applyBorder="1"/>
    <xf numFmtId="2" fontId="11" fillId="0" borderId="0" xfId="0" applyNumberFormat="1" applyFont="1"/>
    <xf numFmtId="49" fontId="12" fillId="0" borderId="0" xfId="0" applyNumberFormat="1" applyFont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0" xfId="0" applyNumberFormat="1"/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167" fontId="1" fillId="0" borderId="23" xfId="0" applyNumberFormat="1" applyFont="1" applyBorder="1" applyAlignment="1">
      <alignment horizontal="center"/>
    </xf>
    <xf numFmtId="167" fontId="1" fillId="0" borderId="22" xfId="0" applyNumberFormat="1" applyFont="1" applyBorder="1" applyAlignment="1">
      <alignment horizontal="center"/>
    </xf>
    <xf numFmtId="2" fontId="1" fillId="0" borderId="23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167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19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67" fontId="1" fillId="0" borderId="8" xfId="0" applyNumberFormat="1" applyFont="1" applyBorder="1" applyAlignment="1">
      <alignment horizontal="center"/>
    </xf>
    <xf numFmtId="167" fontId="1" fillId="0" borderId="9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1" fontId="1" fillId="0" borderId="22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167" fontId="1" fillId="0" borderId="6" xfId="0" applyNumberFormat="1" applyFont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8" fontId="1" fillId="0" borderId="6" xfId="0" applyNumberFormat="1" applyFont="1" applyBorder="1" applyAlignment="1">
      <alignment horizontal="center"/>
    </xf>
    <xf numFmtId="168" fontId="1" fillId="0" borderId="7" xfId="0" applyNumberFormat="1" applyFont="1" applyBorder="1" applyAlignment="1">
      <alignment horizontal="center"/>
    </xf>
    <xf numFmtId="168" fontId="1" fillId="0" borderId="8" xfId="0" applyNumberFormat="1" applyFont="1" applyBorder="1" applyAlignment="1">
      <alignment horizontal="center"/>
    </xf>
    <xf numFmtId="168" fontId="1" fillId="0" borderId="9" xfId="0" applyNumberFormat="1" applyFont="1" applyBorder="1" applyAlignment="1">
      <alignment horizontal="center"/>
    </xf>
    <xf numFmtId="168" fontId="1" fillId="0" borderId="23" xfId="0" applyNumberFormat="1" applyFont="1" applyBorder="1" applyAlignment="1">
      <alignment horizontal="center"/>
    </xf>
    <xf numFmtId="168" fontId="1" fillId="0" borderId="22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7" fontId="1" fillId="0" borderId="23" xfId="0" applyNumberFormat="1" applyFont="1" applyBorder="1" applyAlignment="1">
      <alignment horizontal="center" vertical="center"/>
    </xf>
    <xf numFmtId="167" fontId="1" fillId="0" borderId="22" xfId="0" applyNumberFormat="1" applyFon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" fontId="1" fillId="0" borderId="25" xfId="0" applyNumberFormat="1" applyFont="1" applyBorder="1" applyAlignment="1">
      <alignment horizontal="center" vertical="center"/>
    </xf>
    <xf numFmtId="167" fontId="1" fillId="0" borderId="25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4" fontId="0" fillId="0" borderId="26" xfId="0" applyNumberForma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2001-2008%20&#1075;&#1075;/&#1044;&#1086;&#1082;&#1091;&#1084;&#1077;&#1085;&#1090;&#1099;%202008%20&#1075;&#1086;&#1076;/&#1040;&#1082;&#1090;&#1099;%20&#1088;&#1072;&#1089;&#1087;&#1088;&#1077;&#1076;&#1077;&#1083;&#1077;&#1085;&#1080;&#1103;/&#1043;&#1040;&#1047;/&#1056;&#1077;&#1075;&#1080;&#1086;&#1085;&#1075;&#1072;&#1079;/&#1057;&#1074;&#1086;&#1076;&#1085;&#1099;&#1081;%20&#1072;&#1082;&#1090;%20&#1088;&#1072;&#1089;&#1087;&#1088;&#1077;&#1076;&#1077;&#1083;&#1077;&#1085;&#1080;&#1103;%20&#1075;&#1072;&#1079;&#1072;%20&#1079;&#1072;%202008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2001-2008%20&#1075;&#1075;/&#1044;&#1086;&#1082;&#1091;&#1084;&#1077;&#1085;&#1090;&#1099;%202009%20&#1075;&#1086;&#1076;/&#1040;&#1082;&#1090;&#1099;%20&#1088;&#1072;&#1089;&#1087;&#1088;&#1077;&#1076;&#1077;&#1083;&#1077;&#1085;&#1080;&#1103;/&#1043;&#1040;&#1047;/&#1057;&#1074;&#1086;&#1076;&#1085;&#1099;&#1081;%20&#1072;&#1082;&#1090;%20&#1088;&#1072;&#1089;&#1087;&#1088;&#1077;&#1076;&#1077;&#1083;&#1077;&#1085;&#1080;&#1103;%20&#1075;&#1072;&#1079;&#1072;%20&#1079;&#1072;%202009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2001-2008%20&#1075;&#1075;/&#1044;&#1086;&#1082;&#1091;&#1084;&#1077;&#1085;&#1090;&#1099;%202010%20&#1075;&#1086;&#1076;/&#1040;&#1082;&#1090;&#1099;%20&#1088;&#1072;&#1089;&#1087;&#1088;&#1077;&#1076;&#1077;&#1083;&#1077;&#1085;&#1080;&#1103;/&#1043;&#1040;&#1047;/&#1057;&#1074;&#1086;&#1076;&#1085;&#1099;&#1081;%20&#1072;&#1082;&#1090;%20&#1088;&#1072;&#1089;&#1087;&#1088;&#1077;&#1076;&#1077;&#1083;&#1077;&#1085;&#1080;&#1103;%20&#1075;&#1072;&#1079;&#1072;%20&#1079;&#1072;%202010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2001-2008%20&#1075;&#1075;/&#1044;&#1086;&#1082;&#1091;&#1084;&#1077;&#1085;&#1090;&#1099;%202011%20&#1075;&#1086;&#1076;/&#1040;&#1082;&#1090;&#1099;%20&#1088;&#1072;&#1089;&#1087;&#1088;&#1077;&#1076;&#1077;&#1083;&#1077;&#1085;&#1080;&#1103;/&#1043;&#1040;&#1047;/&#1057;&#1074;&#1086;&#1076;&#1085;&#1099;&#1081;%20&#1072;&#1082;&#1090;%20&#1088;&#1072;&#1089;&#1087;&#1088;&#1077;&#1076;&#1077;&#1083;&#1077;&#1085;&#1080;&#1103;%20&#1075;&#1072;&#1079;&#1072;%20&#1079;&#1072;%202011%20&#1075;&#1086;&#107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2001-2008%20&#1075;&#1075;/&#1044;&#1086;&#1082;&#1091;&#1084;&#1077;&#1085;&#1090;&#1099;%202012%20&#1075;&#1086;&#1076;/&#1040;&#1082;&#1090;&#1099;%20&#1088;&#1072;&#1089;&#1087;&#1088;&#1077;&#1076;&#1077;&#1083;&#1077;&#1085;&#1080;&#1103;/&#1043;&#1040;&#1047;/&#1057;&#1074;&#1086;&#1076;&#1085;&#1099;&#1081;%20&#1072;&#1082;&#1090;%20&#1088;&#1072;&#1089;&#1087;&#1088;&#1077;&#1076;&#1077;&#1083;&#1077;&#1085;&#1080;&#1103;%20&#1075;&#1072;&#1079;&#1072;%20&#1079;&#1072;%202012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 год"/>
      <sheetName val="2008 год "/>
      <sheetName val="свод.акт_2008 год"/>
      <sheetName val="сводная по отоплению за 2008"/>
    </sheetNames>
    <sheetDataSet>
      <sheetData sheetId="0"/>
      <sheetData sheetId="1"/>
      <sheetData sheetId="2">
        <row r="27">
          <cell r="E27">
            <v>2472.9238924965516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07 год"/>
      <sheetName val="2008 год "/>
      <sheetName val="свод.акт_2009 год"/>
      <sheetName val="свод.акт_2009 год_без Абонент"/>
      <sheetName val="сводная по отоплению за 2008"/>
    </sheetNames>
    <sheetDataSet>
      <sheetData sheetId="0"/>
      <sheetData sheetId="1"/>
      <sheetData sheetId="2">
        <row r="27">
          <cell r="D27">
            <v>2788.8154297481178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007 год"/>
      <sheetName val="2008 год "/>
      <sheetName val="свод.акт_2010 год"/>
      <sheetName val="сводная по отоплению за 2008"/>
    </sheetNames>
    <sheetDataSet>
      <sheetData sheetId="0"/>
      <sheetData sheetId="1"/>
      <sheetData sheetId="2">
        <row r="27">
          <cell r="E27">
            <v>3447.4813202720611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.акт_2011 год "/>
      <sheetName val="2007 год"/>
      <sheetName val="2008 год "/>
      <sheetName val="свод.акт_2010 год"/>
      <sheetName val="сводная по отоплению за 2008"/>
    </sheetNames>
    <sheetDataSet>
      <sheetData sheetId="0">
        <row r="33">
          <cell r="E33">
            <v>3964.0635517566898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свод. акт 2012 год"/>
      <sheetName val="свод.акт_2011 год "/>
      <sheetName val="2007 год"/>
      <sheetName val="2008 год "/>
      <sheetName val="свод.акт_2010 год"/>
      <sheetName val="сводная по отоплению за 2008"/>
    </sheetNames>
    <sheetDataSet>
      <sheetData sheetId="0">
        <row r="29">
          <cell r="E29">
            <v>4142.6980546486475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opLeftCell="A3" workbookViewId="0">
      <selection activeCell="H3" sqref="H3:H26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8" width="14" customWidth="1"/>
    <col min="9" max="9" width="10.5703125" style="68" bestFit="1" customWidth="1"/>
  </cols>
  <sheetData>
    <row r="1" spans="1:9" ht="34.5" thickBot="1">
      <c r="A1" s="165" t="s">
        <v>34</v>
      </c>
      <c r="B1" s="165"/>
      <c r="C1" s="165"/>
      <c r="D1" s="165"/>
      <c r="E1" s="165"/>
      <c r="F1" s="165"/>
      <c r="G1" s="165"/>
      <c r="H1" s="165"/>
    </row>
    <row r="2" spans="1:9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57" t="s">
        <v>29</v>
      </c>
    </row>
    <row r="3" spans="1:9">
      <c r="A3" s="160" t="s">
        <v>0</v>
      </c>
      <c r="B3" s="58" t="s">
        <v>36</v>
      </c>
      <c r="C3" s="66">
        <f>Лист1!B40</f>
        <v>642467</v>
      </c>
      <c r="D3" s="65">
        <f>Лист1!D40</f>
        <v>3.3345699999999998</v>
      </c>
      <c r="E3" s="60">
        <f>ROUND(C3*D3,2)</f>
        <v>2142351.1800000002</v>
      </c>
      <c r="F3" s="60">
        <f>ROUND(E3*0.18,2)</f>
        <v>385623.21</v>
      </c>
      <c r="G3" s="60">
        <f>ROUND(E3+F3,2)</f>
        <v>2527974.39</v>
      </c>
      <c r="H3" s="163">
        <f>G3+G4</f>
        <v>2530576.27</v>
      </c>
      <c r="I3" s="71">
        <v>0</v>
      </c>
    </row>
    <row r="4" spans="1:9" ht="15.75" thickBot="1">
      <c r="A4" s="161"/>
      <c r="B4" s="61" t="s">
        <v>35</v>
      </c>
      <c r="C4" s="67">
        <v>603</v>
      </c>
      <c r="D4" s="64">
        <v>3.6566900000000002</v>
      </c>
      <c r="E4" s="63">
        <f>ROUND(C4*D4,2)</f>
        <v>2204.98</v>
      </c>
      <c r="F4" s="63">
        <f>ROUND(E4*0.18,2)</f>
        <v>396.9</v>
      </c>
      <c r="G4" s="63">
        <f>ROUND(E4+F4,2)</f>
        <v>2601.88</v>
      </c>
      <c r="H4" s="164"/>
      <c r="I4" s="71"/>
    </row>
    <row r="5" spans="1:9">
      <c r="A5" s="160" t="s">
        <v>1</v>
      </c>
      <c r="B5" s="58" t="s">
        <v>36</v>
      </c>
      <c r="C5" s="66">
        <f>Лист1!B41</f>
        <v>710384</v>
      </c>
      <c r="D5" s="65">
        <f>Лист1!D41</f>
        <v>3.5190999999999999</v>
      </c>
      <c r="E5" s="60">
        <f t="shared" ref="E5:E26" si="0">ROUND(C5*D5,2)</f>
        <v>2499912.33</v>
      </c>
      <c r="F5" s="60">
        <f t="shared" ref="F5:F26" si="1">ROUND(E5*0.18,2)</f>
        <v>449984.22</v>
      </c>
      <c r="G5" s="60">
        <f t="shared" ref="G5:G26" si="2">ROUND(E5+F5,2)</f>
        <v>2949896.55</v>
      </c>
      <c r="H5" s="163">
        <f>G5+G6</f>
        <v>2952809.4499999997</v>
      </c>
      <c r="I5" s="71">
        <v>0</v>
      </c>
    </row>
    <row r="6" spans="1:9" ht="15.75" thickBot="1">
      <c r="A6" s="161"/>
      <c r="B6" s="61" t="s">
        <v>35</v>
      </c>
      <c r="C6" s="67">
        <v>640</v>
      </c>
      <c r="D6" s="64">
        <v>3.8571300000000002</v>
      </c>
      <c r="E6" s="63">
        <f>ROUND(C6*D6,2)</f>
        <v>2468.56</v>
      </c>
      <c r="F6" s="63">
        <f>ROUND(E6*0.18,2)</f>
        <v>444.34</v>
      </c>
      <c r="G6" s="63">
        <f>ROUND(E6+F6,2)</f>
        <v>2912.9</v>
      </c>
      <c r="H6" s="164"/>
      <c r="I6" s="71"/>
    </row>
    <row r="7" spans="1:9">
      <c r="A7" s="160" t="s">
        <v>2</v>
      </c>
      <c r="B7" s="58" t="s">
        <v>36</v>
      </c>
      <c r="C7" s="66">
        <f>Лист1!B42</f>
        <v>725368</v>
      </c>
      <c r="D7" s="65">
        <f>Лист1!D42</f>
        <v>3.5344699999999998</v>
      </c>
      <c r="E7" s="60">
        <f t="shared" si="0"/>
        <v>2563791.4300000002</v>
      </c>
      <c r="F7" s="60">
        <f t="shared" si="1"/>
        <v>461482.46</v>
      </c>
      <c r="G7" s="60">
        <f t="shared" si="2"/>
        <v>3025273.89</v>
      </c>
      <c r="H7" s="163">
        <f>G7+G8</f>
        <v>3027609.75</v>
      </c>
      <c r="I7" s="71">
        <v>0</v>
      </c>
    </row>
    <row r="8" spans="1:9" ht="15.75" thickBot="1">
      <c r="A8" s="161"/>
      <c r="B8" s="61" t="s">
        <v>35</v>
      </c>
      <c r="C8" s="67">
        <v>511</v>
      </c>
      <c r="D8" s="64">
        <v>3.8738600000000001</v>
      </c>
      <c r="E8" s="63">
        <f>ROUND(C8*D8,2)</f>
        <v>1979.54</v>
      </c>
      <c r="F8" s="63">
        <f>ROUND(E8*0.18,2)</f>
        <v>356.32</v>
      </c>
      <c r="G8" s="63">
        <f>ROUND(E8+F8,2)</f>
        <v>2335.86</v>
      </c>
      <c r="H8" s="164"/>
      <c r="I8" s="71"/>
    </row>
    <row r="9" spans="1:9">
      <c r="A9" s="160" t="s">
        <v>3</v>
      </c>
      <c r="B9" s="58" t="s">
        <v>36</v>
      </c>
      <c r="C9" s="66">
        <f>Лист1!B43</f>
        <v>633807</v>
      </c>
      <c r="D9" s="65">
        <f>Лист1!D43</f>
        <v>3.4572799999999999</v>
      </c>
      <c r="E9" s="60">
        <f t="shared" si="0"/>
        <v>2191248.2599999998</v>
      </c>
      <c r="F9" s="60">
        <f t="shared" si="1"/>
        <v>394424.69</v>
      </c>
      <c r="G9" s="60">
        <f t="shared" si="2"/>
        <v>2585672.9500000002</v>
      </c>
      <c r="H9" s="159">
        <f>G9+G10</f>
        <v>2590086.98</v>
      </c>
      <c r="I9" s="71">
        <v>0</v>
      </c>
    </row>
    <row r="10" spans="1:9" ht="15.75" thickBot="1">
      <c r="A10" s="161"/>
      <c r="B10" s="61" t="s">
        <v>35</v>
      </c>
      <c r="C10" s="67">
        <v>987</v>
      </c>
      <c r="D10" s="64">
        <v>3.7899699999999998</v>
      </c>
      <c r="E10" s="63">
        <f>ROUND(C10*D10,2)</f>
        <v>3740.7</v>
      </c>
      <c r="F10" s="63">
        <f>ROUND(E10*0.18,2)</f>
        <v>673.33</v>
      </c>
      <c r="G10" s="63">
        <f>ROUND(E10+F10,2)</f>
        <v>4414.03</v>
      </c>
      <c r="H10" s="162"/>
      <c r="I10" s="71"/>
    </row>
    <row r="11" spans="1:9">
      <c r="A11" s="160" t="s">
        <v>4</v>
      </c>
      <c r="B11" s="58" t="s">
        <v>36</v>
      </c>
      <c r="C11" s="66">
        <f>Лист1!B44</f>
        <v>369545</v>
      </c>
      <c r="D11" s="65">
        <f>Лист1!D44</f>
        <v>3.5274800000000002</v>
      </c>
      <c r="E11" s="60">
        <f t="shared" si="0"/>
        <v>1303562.6000000001</v>
      </c>
      <c r="F11" s="60">
        <f t="shared" si="1"/>
        <v>234641.27</v>
      </c>
      <c r="G11" s="60">
        <f t="shared" si="2"/>
        <v>1538203.87</v>
      </c>
      <c r="H11" s="159">
        <f>G11+G12</f>
        <v>1541853.59</v>
      </c>
      <c r="I11" s="71">
        <v>0</v>
      </c>
    </row>
    <row r="12" spans="1:9" ht="15.75" thickBot="1">
      <c r="A12" s="161"/>
      <c r="B12" s="61" t="s">
        <v>35</v>
      </c>
      <c r="C12" s="67">
        <v>800</v>
      </c>
      <c r="D12" s="64">
        <v>3.8662200000000002</v>
      </c>
      <c r="E12" s="63">
        <f>ROUND(C12*D12,2)</f>
        <v>3092.98</v>
      </c>
      <c r="F12" s="63">
        <f>ROUND(E12*0.18,2)</f>
        <v>556.74</v>
      </c>
      <c r="G12" s="63">
        <f>ROUND(E12+F12,2)</f>
        <v>3649.72</v>
      </c>
      <c r="H12" s="162"/>
    </row>
    <row r="13" spans="1:9">
      <c r="A13" s="160" t="s">
        <v>5</v>
      </c>
      <c r="B13" s="58" t="s">
        <v>36</v>
      </c>
      <c r="C13" s="66">
        <f>Лист1!B45</f>
        <v>485577</v>
      </c>
      <c r="D13" s="65">
        <f>Лист1!D45</f>
        <v>3.5691299999999999</v>
      </c>
      <c r="E13" s="60">
        <f>ROUND(C13*D13,2)</f>
        <v>1733087.44</v>
      </c>
      <c r="F13" s="60">
        <f>ROUND(E13*0.18,2)</f>
        <v>311955.74</v>
      </c>
      <c r="G13" s="60">
        <f>ROUND(E13+F13,2)</f>
        <v>2045043.18</v>
      </c>
      <c r="H13" s="163">
        <f>G13+G14</f>
        <v>2049395.68</v>
      </c>
      <c r="I13" s="69">
        <v>0</v>
      </c>
    </row>
    <row r="14" spans="1:9" ht="15.75" thickBot="1">
      <c r="A14" s="161"/>
      <c r="B14" s="61" t="s">
        <v>35</v>
      </c>
      <c r="C14" s="67">
        <v>943</v>
      </c>
      <c r="D14" s="64">
        <v>3.9115199999999999</v>
      </c>
      <c r="E14" s="63">
        <f>ROUND(C14*D14,2)</f>
        <v>3688.56</v>
      </c>
      <c r="F14" s="63">
        <f>ROUND(E14*0.18,2)</f>
        <v>663.94</v>
      </c>
      <c r="G14" s="63">
        <f>ROUND(E14+F14,2)</f>
        <v>4352.5</v>
      </c>
      <c r="H14" s="164"/>
      <c r="I14" s="70"/>
    </row>
    <row r="15" spans="1:9">
      <c r="A15" s="157" t="s">
        <v>6</v>
      </c>
      <c r="B15" s="58" t="s">
        <v>31</v>
      </c>
      <c r="C15" s="66">
        <f>Лист1!B46</f>
        <v>477736</v>
      </c>
      <c r="D15" s="65">
        <f>Лист1!D46</f>
        <v>3.5135200000000002</v>
      </c>
      <c r="E15" s="60">
        <v>1678535.09</v>
      </c>
      <c r="F15" s="60">
        <v>302136.31</v>
      </c>
      <c r="G15" s="60">
        <f t="shared" ref="G15:G16" si="3">ROUND(E15+F15,2)</f>
        <v>1980671.4</v>
      </c>
      <c r="H15" s="159">
        <f t="shared" ref="H15" si="4">G15+G16</f>
        <v>2325713.9</v>
      </c>
      <c r="I15" s="68">
        <f>2325713.79-(1980671.4+345042.5)</f>
        <v>-0.10999999986961484</v>
      </c>
    </row>
    <row r="16" spans="1:9" ht="15.75" thickBot="1">
      <c r="A16" s="158"/>
      <c r="B16" s="61" t="s">
        <v>33</v>
      </c>
      <c r="C16" s="67">
        <f>Лист1!H46</f>
        <v>737</v>
      </c>
      <c r="D16" s="64">
        <f>Лист1!J46</f>
        <v>396.75563</v>
      </c>
      <c r="E16" s="63">
        <f t="shared" ref="E16" si="5">ROUND(C16*D16,2)</f>
        <v>292408.90000000002</v>
      </c>
      <c r="F16" s="63">
        <f t="shared" ref="F16" si="6">ROUND(E16*0.18,2)</f>
        <v>52633.599999999999</v>
      </c>
      <c r="G16" s="63">
        <f t="shared" si="3"/>
        <v>345042.5</v>
      </c>
      <c r="H16" s="158"/>
    </row>
    <row r="17" spans="1:9">
      <c r="A17" s="157" t="s">
        <v>7</v>
      </c>
      <c r="B17" s="58" t="s">
        <v>31</v>
      </c>
      <c r="C17" s="66">
        <f>Лист1!B47</f>
        <v>668993</v>
      </c>
      <c r="D17" s="65">
        <f>Лист1!D47</f>
        <v>3.4611399999999999</v>
      </c>
      <c r="E17" s="60">
        <v>2315480.92</v>
      </c>
      <c r="F17" s="60">
        <f t="shared" si="1"/>
        <v>416786.57</v>
      </c>
      <c r="G17" s="60">
        <f t="shared" si="2"/>
        <v>2732267.49</v>
      </c>
      <c r="H17" s="159">
        <f t="shared" ref="H17" si="7">G17+G18</f>
        <v>3654549.8000000003</v>
      </c>
      <c r="I17" s="68">
        <f>3654546.85-3654549.8</f>
        <v>-2.9499999997206032</v>
      </c>
    </row>
    <row r="18" spans="1:9" ht="15.75" thickBot="1">
      <c r="A18" s="158"/>
      <c r="B18" s="61" t="s">
        <v>33</v>
      </c>
      <c r="C18" s="67">
        <f>Лист1!H47</f>
        <v>1981</v>
      </c>
      <c r="D18" s="64">
        <f>Лист1!J47</f>
        <v>394.54577</v>
      </c>
      <c r="E18" s="63">
        <v>781595.18</v>
      </c>
      <c r="F18" s="63">
        <f t="shared" si="1"/>
        <v>140687.13</v>
      </c>
      <c r="G18" s="63">
        <f t="shared" si="2"/>
        <v>922282.31</v>
      </c>
      <c r="H18" s="158"/>
    </row>
    <row r="19" spans="1:9">
      <c r="A19" s="157" t="s">
        <v>8</v>
      </c>
      <c r="B19" s="58" t="s">
        <v>31</v>
      </c>
      <c r="C19" s="66">
        <f>Лист1!B48</f>
        <v>673580</v>
      </c>
      <c r="D19" s="65">
        <f>Лист1!D48</f>
        <v>3.2653300000000001</v>
      </c>
      <c r="E19" s="60">
        <v>2199462.2799999998</v>
      </c>
      <c r="F19" s="60">
        <f t="shared" si="1"/>
        <v>395903.21</v>
      </c>
      <c r="G19" s="60">
        <f t="shared" si="2"/>
        <v>2595365.4900000002</v>
      </c>
      <c r="H19" s="159">
        <f t="shared" ref="H19" si="8">G19+G20</f>
        <v>3134670.5500000003</v>
      </c>
      <c r="I19" s="68">
        <f>3134669.02-3134670.55</f>
        <v>-1.529999999795109</v>
      </c>
    </row>
    <row r="20" spans="1:9" ht="15.75" thickBot="1">
      <c r="A20" s="158"/>
      <c r="B20" s="61" t="s">
        <v>33</v>
      </c>
      <c r="C20" s="67">
        <f>Лист1!H48</f>
        <v>1188</v>
      </c>
      <c r="D20" s="64">
        <f>Лист1!J48</f>
        <v>384.71228000000002</v>
      </c>
      <c r="E20" s="63">
        <f t="shared" si="0"/>
        <v>457038.19</v>
      </c>
      <c r="F20" s="63">
        <f t="shared" si="1"/>
        <v>82266.87</v>
      </c>
      <c r="G20" s="63">
        <f t="shared" si="2"/>
        <v>539305.06000000006</v>
      </c>
      <c r="H20" s="158"/>
    </row>
    <row r="21" spans="1:9">
      <c r="A21" s="157" t="s">
        <v>9</v>
      </c>
      <c r="B21" s="58" t="s">
        <v>31</v>
      </c>
      <c r="C21" s="66">
        <f>Лист1!B49</f>
        <v>721091</v>
      </c>
      <c r="D21" s="65">
        <f>Лист1!D49</f>
        <v>3.2745700000000002</v>
      </c>
      <c r="E21" s="60">
        <v>2361266.13</v>
      </c>
      <c r="F21" s="60">
        <v>425027.89</v>
      </c>
      <c r="G21" s="60">
        <f t="shared" si="2"/>
        <v>2786294.02</v>
      </c>
      <c r="H21" s="159">
        <f t="shared" ref="H21" si="9">G21+G22</f>
        <v>3341836.0700000003</v>
      </c>
      <c r="I21" s="68">
        <f>3341832.34-3341836.07</f>
        <v>-3.7299999999813735</v>
      </c>
    </row>
    <row r="22" spans="1:9" ht="15.75" thickBot="1">
      <c r="A22" s="158"/>
      <c r="B22" s="61" t="s">
        <v>33</v>
      </c>
      <c r="C22" s="67">
        <f>Лист1!H49</f>
        <v>1184</v>
      </c>
      <c r="D22" s="64">
        <f>Лист1!J49</f>
        <v>397.63373999999999</v>
      </c>
      <c r="E22" s="63">
        <f t="shared" si="0"/>
        <v>470798.35</v>
      </c>
      <c r="F22" s="63">
        <f t="shared" si="1"/>
        <v>84743.7</v>
      </c>
      <c r="G22" s="63">
        <f t="shared" si="2"/>
        <v>555542.05000000005</v>
      </c>
      <c r="H22" s="158"/>
    </row>
    <row r="23" spans="1:9">
      <c r="A23" s="157" t="s">
        <v>10</v>
      </c>
      <c r="B23" s="58" t="s">
        <v>31</v>
      </c>
      <c r="C23" s="66">
        <f>Лист1!B50</f>
        <v>760831</v>
      </c>
      <c r="D23" s="65">
        <f>Лист1!D50</f>
        <v>3.2073</v>
      </c>
      <c r="E23" s="60">
        <v>2440213.5699999998</v>
      </c>
      <c r="F23" s="60">
        <v>439238.45</v>
      </c>
      <c r="G23" s="60">
        <f t="shared" si="2"/>
        <v>2879452.02</v>
      </c>
      <c r="H23" s="159">
        <f t="shared" ref="H23" si="10">G23+G24</f>
        <v>3471636.33</v>
      </c>
      <c r="I23" s="68">
        <f>3471635.98-3471636.33</f>
        <v>-0.35000000009313226</v>
      </c>
    </row>
    <row r="24" spans="1:9" ht="15.75" thickBot="1">
      <c r="A24" s="158"/>
      <c r="B24" s="61" t="s">
        <v>33</v>
      </c>
      <c r="C24" s="67">
        <f>Лист1!H50</f>
        <v>1225</v>
      </c>
      <c r="D24" s="64">
        <f>Лист1!J50</f>
        <v>409.67437999999999</v>
      </c>
      <c r="E24" s="63">
        <v>501851.11</v>
      </c>
      <c r="F24" s="63">
        <v>90333.2</v>
      </c>
      <c r="G24" s="63">
        <f t="shared" si="2"/>
        <v>592184.31000000006</v>
      </c>
      <c r="H24" s="158"/>
    </row>
    <row r="25" spans="1:9">
      <c r="A25" s="157" t="s">
        <v>11</v>
      </c>
      <c r="B25" s="58" t="s">
        <v>31</v>
      </c>
      <c r="C25" s="66">
        <f>Лист1!B51</f>
        <v>830676</v>
      </c>
      <c r="D25" s="65">
        <f>Лист1!D51</f>
        <v>3.1968200000000002</v>
      </c>
      <c r="E25" s="60">
        <f t="shared" si="0"/>
        <v>2655521.65</v>
      </c>
      <c r="F25" s="60">
        <f t="shared" si="1"/>
        <v>477993.9</v>
      </c>
      <c r="G25" s="60">
        <f t="shared" si="2"/>
        <v>3133515.55</v>
      </c>
      <c r="H25" s="159">
        <f t="shared" ref="H25" si="11">G25+G26</f>
        <v>3855203.6599999997</v>
      </c>
      <c r="I25" s="68">
        <f>3855203.66-3855201.15</f>
        <v>2.5100000002421439</v>
      </c>
    </row>
    <row r="26" spans="1:9" ht="15.75" thickBot="1">
      <c r="A26" s="158"/>
      <c r="B26" s="61" t="s">
        <v>33</v>
      </c>
      <c r="C26" s="67">
        <f>Лист1!H51</f>
        <v>1340</v>
      </c>
      <c r="D26" s="64">
        <f>Лист1!J51</f>
        <v>456.41798</v>
      </c>
      <c r="E26" s="63">
        <f t="shared" si="0"/>
        <v>611600.09</v>
      </c>
      <c r="F26" s="63">
        <f t="shared" si="1"/>
        <v>110088.02</v>
      </c>
      <c r="G26" s="63">
        <f t="shared" si="2"/>
        <v>721688.11</v>
      </c>
      <c r="H26" s="158"/>
    </row>
    <row r="27" spans="1:9">
      <c r="C27">
        <f>C3+C5+C7+C9+C11+C13+C15+C17+C19+C21+C23+C25</f>
        <v>7700055</v>
      </c>
      <c r="G27" s="81">
        <f>G3</f>
        <v>2527974.39</v>
      </c>
    </row>
    <row r="28" spans="1:9">
      <c r="C28" s="90"/>
    </row>
    <row r="29" spans="1:9">
      <c r="C29" s="90">
        <f>C25-C23</f>
        <v>69845</v>
      </c>
    </row>
  </sheetData>
  <mergeCells count="25">
    <mergeCell ref="A1:H1"/>
    <mergeCell ref="A15:A16"/>
    <mergeCell ref="H15:H16"/>
    <mergeCell ref="A9:A10"/>
    <mergeCell ref="H9:H10"/>
    <mergeCell ref="A3:A4"/>
    <mergeCell ref="A5:A6"/>
    <mergeCell ref="A7:A8"/>
    <mergeCell ref="H3:H4"/>
    <mergeCell ref="H5:H6"/>
    <mergeCell ref="H7:H8"/>
    <mergeCell ref="A23:A24"/>
    <mergeCell ref="H23:H24"/>
    <mergeCell ref="A25:A26"/>
    <mergeCell ref="H25:H26"/>
    <mergeCell ref="A11:A12"/>
    <mergeCell ref="H11:H12"/>
    <mergeCell ref="A17:A18"/>
    <mergeCell ref="H17:H18"/>
    <mergeCell ref="A19:A20"/>
    <mergeCell ref="H19:H20"/>
    <mergeCell ref="A21:A22"/>
    <mergeCell ref="H21:H22"/>
    <mergeCell ref="A13:A14"/>
    <mergeCell ref="H13:H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opLeftCell="A4" workbookViewId="0">
      <selection activeCell="H3" sqref="H3:H26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9" width="14" customWidth="1"/>
  </cols>
  <sheetData>
    <row r="1" spans="1:9" ht="34.5" thickBot="1">
      <c r="A1" s="165" t="s">
        <v>30</v>
      </c>
      <c r="B1" s="165"/>
      <c r="C1" s="165"/>
      <c r="D1" s="165"/>
      <c r="E1" s="165"/>
      <c r="F1" s="165"/>
      <c r="G1" s="165"/>
      <c r="H1" s="165"/>
      <c r="I1" s="73"/>
    </row>
    <row r="2" spans="1:9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57" t="s">
        <v>29</v>
      </c>
      <c r="I2" s="74"/>
    </row>
    <row r="3" spans="1:9">
      <c r="A3" s="157" t="s">
        <v>0</v>
      </c>
      <c r="B3" s="58" t="s">
        <v>31</v>
      </c>
      <c r="C3" s="66">
        <f>Лист1!B56</f>
        <v>412722</v>
      </c>
      <c r="D3" s="65">
        <f>Лист1!D56</f>
        <v>3.3587199999999999</v>
      </c>
      <c r="E3" s="60">
        <v>1386216.65</v>
      </c>
      <c r="F3" s="60">
        <v>249519.01</v>
      </c>
      <c r="G3" s="60">
        <f>ROUND(E3+F3,2)</f>
        <v>1635735.66</v>
      </c>
      <c r="H3" s="159">
        <f>G3+G4</f>
        <v>2006385.68</v>
      </c>
      <c r="I3" s="75"/>
    </row>
    <row r="4" spans="1:9" ht="15.75" thickBot="1">
      <c r="A4" s="158"/>
      <c r="B4" s="61" t="s">
        <v>33</v>
      </c>
      <c r="C4" s="67">
        <f>Лист1!H56</f>
        <v>721</v>
      </c>
      <c r="D4" s="64">
        <f>Лист1!J56</f>
        <v>435.65906999999999</v>
      </c>
      <c r="E4" s="63">
        <f>ROUND(C4*D4,2)</f>
        <v>314110.19</v>
      </c>
      <c r="F4" s="63">
        <f t="shared" ref="F4:F5" si="0">ROUND(E4*0.18,2)</f>
        <v>56539.83</v>
      </c>
      <c r="G4" s="63">
        <f>ROUND(E4+F4,2)</f>
        <v>370650.02</v>
      </c>
      <c r="H4" s="158"/>
      <c r="I4" s="76"/>
    </row>
    <row r="5" spans="1:9">
      <c r="A5" s="157" t="s">
        <v>1</v>
      </c>
      <c r="B5" s="58" t="s">
        <v>31</v>
      </c>
      <c r="C5" s="66">
        <f>Лист1!B57</f>
        <v>760293</v>
      </c>
      <c r="D5" s="65">
        <f>Лист1!D57</f>
        <v>3.3716200000000001</v>
      </c>
      <c r="E5" s="60">
        <f t="shared" ref="E5:E26" si="1">ROUND(C5*D5,2)</f>
        <v>2563419.08</v>
      </c>
      <c r="F5" s="60">
        <f t="shared" si="0"/>
        <v>461415.43</v>
      </c>
      <c r="G5" s="60">
        <f t="shared" ref="G5:G26" si="2">ROUND(E5+F5,2)</f>
        <v>3024834.51</v>
      </c>
      <c r="H5" s="159">
        <f t="shared" ref="H5" si="3">G5+G6</f>
        <v>3439457.2699999996</v>
      </c>
      <c r="I5" s="75"/>
    </row>
    <row r="6" spans="1:9" ht="15.75" thickBot="1">
      <c r="A6" s="158"/>
      <c r="B6" s="61" t="s">
        <v>33</v>
      </c>
      <c r="C6" s="67">
        <f>Лист1!H57</f>
        <v>1353</v>
      </c>
      <c r="D6" s="64">
        <f>Лист1!J57</f>
        <v>259.70083</v>
      </c>
      <c r="E6" s="63">
        <f t="shared" si="1"/>
        <v>351375.22</v>
      </c>
      <c r="F6" s="63">
        <f t="shared" ref="F6:F26" si="4">ROUND(E6*0.18,2)</f>
        <v>63247.54</v>
      </c>
      <c r="G6" s="63">
        <f t="shared" si="2"/>
        <v>414622.76</v>
      </c>
      <c r="H6" s="158"/>
      <c r="I6" s="76"/>
    </row>
    <row r="7" spans="1:9">
      <c r="A7" s="157" t="s">
        <v>2</v>
      </c>
      <c r="B7" s="58" t="s">
        <v>31</v>
      </c>
      <c r="C7" s="66">
        <f>Лист1!B58</f>
        <v>760493</v>
      </c>
      <c r="D7" s="65">
        <f>Лист1!D58</f>
        <v>3.3523700000000001</v>
      </c>
      <c r="E7" s="60">
        <v>2549456.27</v>
      </c>
      <c r="F7" s="60">
        <f t="shared" si="4"/>
        <v>458902.13</v>
      </c>
      <c r="G7" s="60">
        <f t="shared" si="2"/>
        <v>3008358.3999999999</v>
      </c>
      <c r="H7" s="159">
        <f t="shared" ref="H7" si="5">G7+G8</f>
        <v>3940276.92</v>
      </c>
      <c r="I7" s="75"/>
    </row>
    <row r="8" spans="1:9" ht="15.75" thickBot="1">
      <c r="A8" s="158"/>
      <c r="B8" s="61" t="s">
        <v>33</v>
      </c>
      <c r="C8" s="67">
        <f>Лист1!H58</f>
        <v>1417</v>
      </c>
      <c r="D8" s="64">
        <f>Лист1!J58</f>
        <v>557.34753999999998</v>
      </c>
      <c r="E8" s="63">
        <f t="shared" si="1"/>
        <v>789761.46</v>
      </c>
      <c r="F8" s="63">
        <f t="shared" si="4"/>
        <v>142157.06</v>
      </c>
      <c r="G8" s="63">
        <f t="shared" si="2"/>
        <v>931918.52</v>
      </c>
      <c r="H8" s="158"/>
      <c r="I8" s="76"/>
    </row>
    <row r="9" spans="1:9">
      <c r="A9" s="157" t="s">
        <v>3</v>
      </c>
      <c r="B9" s="58" t="s">
        <v>31</v>
      </c>
      <c r="C9" s="66">
        <f>Лист1!B59</f>
        <v>674068</v>
      </c>
      <c r="D9" s="65">
        <f>Лист1!D59</f>
        <v>3.4084699999999999</v>
      </c>
      <c r="E9" s="60">
        <v>2297537.33</v>
      </c>
      <c r="F9" s="60">
        <v>413556.7</v>
      </c>
      <c r="G9" s="60">
        <f t="shared" si="2"/>
        <v>2711094.03</v>
      </c>
      <c r="H9" s="159">
        <f t="shared" ref="H9" si="6">G9+G10</f>
        <v>3529604.8099999996</v>
      </c>
      <c r="I9" s="75"/>
    </row>
    <row r="10" spans="1:9" ht="15.75" thickBot="1">
      <c r="A10" s="158"/>
      <c r="B10" s="61" t="s">
        <v>33</v>
      </c>
      <c r="C10" s="67">
        <f>Лист1!H59</f>
        <v>1463</v>
      </c>
      <c r="D10" s="64">
        <f>Лист1!J59</f>
        <v>474.13069999999999</v>
      </c>
      <c r="E10" s="63">
        <v>693653.2</v>
      </c>
      <c r="F10" s="63">
        <f t="shared" si="4"/>
        <v>124857.58</v>
      </c>
      <c r="G10" s="63">
        <f t="shared" si="2"/>
        <v>818510.78</v>
      </c>
      <c r="H10" s="158"/>
      <c r="I10" s="76"/>
    </row>
    <row r="11" spans="1:9">
      <c r="A11" s="157" t="s">
        <v>4</v>
      </c>
      <c r="B11" s="58" t="s">
        <v>31</v>
      </c>
      <c r="C11" s="66">
        <f>Лист1!B60</f>
        <v>551795</v>
      </c>
      <c r="D11" s="65">
        <f>Лист1!D60</f>
        <v>3.38246</v>
      </c>
      <c r="E11" s="60">
        <v>1866422.84</v>
      </c>
      <c r="F11" s="60">
        <v>335956.12</v>
      </c>
      <c r="G11" s="60">
        <f t="shared" si="2"/>
        <v>2202378.96</v>
      </c>
      <c r="H11" s="159">
        <f t="shared" ref="H11" si="7">G11+G12</f>
        <v>2912287.32</v>
      </c>
      <c r="I11" s="75"/>
    </row>
    <row r="12" spans="1:9" ht="15.75" thickBot="1">
      <c r="A12" s="158"/>
      <c r="B12" s="61" t="s">
        <v>33</v>
      </c>
      <c r="C12" s="67">
        <f>Лист1!H60</f>
        <v>1299</v>
      </c>
      <c r="D12" s="64">
        <f>Лист1!J60</f>
        <v>463.13875000000002</v>
      </c>
      <c r="E12" s="63">
        <v>601617.25</v>
      </c>
      <c r="F12" s="63">
        <f t="shared" si="4"/>
        <v>108291.11</v>
      </c>
      <c r="G12" s="63">
        <f t="shared" si="2"/>
        <v>709908.36</v>
      </c>
      <c r="H12" s="158"/>
      <c r="I12" s="76"/>
    </row>
    <row r="13" spans="1:9">
      <c r="A13" s="157" t="s">
        <v>5</v>
      </c>
      <c r="B13" s="58" t="s">
        <v>31</v>
      </c>
      <c r="C13" s="66">
        <f>Лист1!B61</f>
        <v>597472</v>
      </c>
      <c r="D13" s="65">
        <f>Лист1!D61</f>
        <v>3.50576</v>
      </c>
      <c r="E13" s="60">
        <v>2094593.58</v>
      </c>
      <c r="F13" s="60">
        <v>377026.86</v>
      </c>
      <c r="G13" s="60">
        <f t="shared" si="2"/>
        <v>2471620.44</v>
      </c>
      <c r="H13" s="159">
        <f t="shared" ref="H13" si="8">G13+G14</f>
        <v>3158626.98</v>
      </c>
      <c r="I13" s="75"/>
    </row>
    <row r="14" spans="1:9" ht="15.75" thickBot="1">
      <c r="A14" s="158"/>
      <c r="B14" s="61" t="s">
        <v>33</v>
      </c>
      <c r="C14" s="67">
        <f>Лист1!H61</f>
        <v>1437</v>
      </c>
      <c r="D14" s="64">
        <f>Лист1!J61</f>
        <v>405.15582999999998</v>
      </c>
      <c r="E14" s="63">
        <f t="shared" si="1"/>
        <v>582208.93000000005</v>
      </c>
      <c r="F14" s="63">
        <f t="shared" si="4"/>
        <v>104797.61</v>
      </c>
      <c r="G14" s="63">
        <f t="shared" si="2"/>
        <v>687006.54</v>
      </c>
      <c r="H14" s="158"/>
      <c r="I14" s="76"/>
    </row>
    <row r="15" spans="1:9">
      <c r="A15" s="157" t="s">
        <v>6</v>
      </c>
      <c r="B15" s="58" t="s">
        <v>31</v>
      </c>
      <c r="C15" s="66">
        <f>Лист1!B62</f>
        <v>653387</v>
      </c>
      <c r="D15" s="65">
        <f>Лист1!D62</f>
        <v>3.4757799999999999</v>
      </c>
      <c r="E15" s="60">
        <v>2271028.23</v>
      </c>
      <c r="F15" s="60">
        <v>408785.07</v>
      </c>
      <c r="G15" s="60">
        <f t="shared" si="2"/>
        <v>2679813.2999999998</v>
      </c>
      <c r="H15" s="159">
        <f t="shared" ref="H15" si="9">G15+G16</f>
        <v>3348990.78</v>
      </c>
      <c r="I15" s="75"/>
    </row>
    <row r="16" spans="1:9" ht="15.75" thickBot="1">
      <c r="A16" s="158"/>
      <c r="B16" s="61" t="s">
        <v>33</v>
      </c>
      <c r="C16" s="67">
        <f>Лист1!H62</f>
        <v>1275</v>
      </c>
      <c r="D16" s="64">
        <f>Лист1!J62</f>
        <v>444.78397000000001</v>
      </c>
      <c r="E16" s="63">
        <f t="shared" si="1"/>
        <v>567099.56000000006</v>
      </c>
      <c r="F16" s="63">
        <f t="shared" si="4"/>
        <v>102077.92</v>
      </c>
      <c r="G16" s="63">
        <f t="shared" si="2"/>
        <v>669177.48</v>
      </c>
      <c r="H16" s="158"/>
      <c r="I16" s="76"/>
    </row>
    <row r="17" spans="1:9">
      <c r="A17" s="157" t="s">
        <v>7</v>
      </c>
      <c r="B17" s="58" t="s">
        <v>31</v>
      </c>
      <c r="C17" s="66">
        <f>Лист1!B63</f>
        <v>262040</v>
      </c>
      <c r="D17" s="65">
        <v>3.5243600000000002</v>
      </c>
      <c r="E17" s="60">
        <v>923523.23</v>
      </c>
      <c r="F17" s="60">
        <f t="shared" si="4"/>
        <v>166234.18</v>
      </c>
      <c r="G17" s="60">
        <f t="shared" si="2"/>
        <v>1089757.4099999999</v>
      </c>
      <c r="H17" s="159">
        <f t="shared" ref="H17" si="10">G17+G18</f>
        <v>1360665.3399999999</v>
      </c>
      <c r="I17" s="75"/>
    </row>
    <row r="18" spans="1:9" ht="15.75" thickBot="1">
      <c r="A18" s="158"/>
      <c r="B18" s="61" t="s">
        <v>33</v>
      </c>
      <c r="C18" s="67">
        <f>Лист1!H63</f>
        <v>565</v>
      </c>
      <c r="D18" s="64">
        <v>406.34156000000002</v>
      </c>
      <c r="E18" s="63">
        <v>229582.99</v>
      </c>
      <c r="F18" s="63">
        <f t="shared" si="4"/>
        <v>41324.94</v>
      </c>
      <c r="G18" s="63">
        <f t="shared" si="2"/>
        <v>270907.93</v>
      </c>
      <c r="H18" s="158"/>
      <c r="I18" s="76"/>
    </row>
    <row r="19" spans="1:9">
      <c r="A19" s="157" t="s">
        <v>8</v>
      </c>
      <c r="B19" s="58" t="s">
        <v>31</v>
      </c>
      <c r="C19" s="59">
        <v>482388</v>
      </c>
      <c r="D19" s="65">
        <v>3.4686300000000001</v>
      </c>
      <c r="E19" s="60">
        <v>1673225.54</v>
      </c>
      <c r="F19" s="60">
        <f t="shared" si="4"/>
        <v>301180.59999999998</v>
      </c>
      <c r="G19" s="60">
        <f t="shared" si="2"/>
        <v>1974406.14</v>
      </c>
      <c r="H19" s="159">
        <f t="shared" ref="H19" si="11">G19+G20</f>
        <v>2301206.5699999998</v>
      </c>
      <c r="I19" s="75"/>
    </row>
    <row r="20" spans="1:9" ht="15.75" thickBot="1">
      <c r="A20" s="158"/>
      <c r="B20" s="61" t="s">
        <v>33</v>
      </c>
      <c r="C20" s="62">
        <v>627</v>
      </c>
      <c r="D20" s="64">
        <v>441.70576</v>
      </c>
      <c r="E20" s="63">
        <v>276949.52</v>
      </c>
      <c r="F20" s="63">
        <f t="shared" si="4"/>
        <v>49850.91</v>
      </c>
      <c r="G20" s="63">
        <f t="shared" si="2"/>
        <v>326800.43</v>
      </c>
      <c r="H20" s="158"/>
      <c r="I20" s="76"/>
    </row>
    <row r="21" spans="1:9">
      <c r="A21" s="157" t="s">
        <v>9</v>
      </c>
      <c r="B21" s="58" t="s">
        <v>31</v>
      </c>
      <c r="C21" s="59">
        <v>577269</v>
      </c>
      <c r="D21" s="65">
        <v>3.4389400000000001</v>
      </c>
      <c r="E21" s="60">
        <v>1985194.66</v>
      </c>
      <c r="F21" s="60">
        <v>357335.05</v>
      </c>
      <c r="G21" s="60">
        <f t="shared" si="2"/>
        <v>2342529.71</v>
      </c>
      <c r="H21" s="159">
        <f t="shared" ref="H21" si="12">G21+G22</f>
        <v>2807634.01</v>
      </c>
      <c r="I21" s="75" t="s">
        <v>37</v>
      </c>
    </row>
    <row r="22" spans="1:9" ht="15.75" thickBot="1">
      <c r="A22" s="158"/>
      <c r="B22" s="61" t="s">
        <v>33</v>
      </c>
      <c r="C22" s="62">
        <v>756</v>
      </c>
      <c r="D22" s="64">
        <v>521.37062000000003</v>
      </c>
      <c r="E22" s="63">
        <f t="shared" si="1"/>
        <v>394156.19</v>
      </c>
      <c r="F22" s="63">
        <f t="shared" si="4"/>
        <v>70948.11</v>
      </c>
      <c r="G22" s="63">
        <f t="shared" si="2"/>
        <v>465104.3</v>
      </c>
      <c r="H22" s="158"/>
      <c r="I22" s="76" t="s">
        <v>38</v>
      </c>
    </row>
    <row r="23" spans="1:9">
      <c r="A23" s="157" t="s">
        <v>10</v>
      </c>
      <c r="B23" s="58" t="s">
        <v>31</v>
      </c>
      <c r="C23" s="59">
        <v>679766</v>
      </c>
      <c r="D23" s="65">
        <v>3.4715799999999999</v>
      </c>
      <c r="E23" s="60">
        <v>2359861.6</v>
      </c>
      <c r="F23" s="60">
        <f t="shared" si="4"/>
        <v>424775.09</v>
      </c>
      <c r="G23" s="60">
        <f t="shared" si="2"/>
        <v>2784636.69</v>
      </c>
      <c r="H23" s="159">
        <f t="shared" ref="H23" si="13">G23+G24</f>
        <v>3400463.77</v>
      </c>
      <c r="I23" s="75" t="s">
        <v>39</v>
      </c>
    </row>
    <row r="24" spans="1:9" ht="15.75" thickBot="1">
      <c r="A24" s="158"/>
      <c r="B24" s="61" t="s">
        <v>33</v>
      </c>
      <c r="C24" s="62">
        <v>1200</v>
      </c>
      <c r="D24" s="64">
        <v>434.90613000000002</v>
      </c>
      <c r="E24" s="63">
        <f t="shared" si="1"/>
        <v>521887.36</v>
      </c>
      <c r="F24" s="63">
        <f t="shared" si="4"/>
        <v>93939.72</v>
      </c>
      <c r="G24" s="63">
        <f t="shared" si="2"/>
        <v>615827.07999999996</v>
      </c>
      <c r="H24" s="158"/>
      <c r="I24" s="76" t="s">
        <v>40</v>
      </c>
    </row>
    <row r="25" spans="1:9">
      <c r="A25" s="157" t="s">
        <v>11</v>
      </c>
      <c r="B25" s="58" t="s">
        <v>31</v>
      </c>
      <c r="C25" s="59">
        <v>780653</v>
      </c>
      <c r="D25" s="65">
        <v>3.5604800000000001</v>
      </c>
      <c r="E25" s="60">
        <v>2779502.71</v>
      </c>
      <c r="F25" s="60">
        <v>500310.47</v>
      </c>
      <c r="G25" s="60">
        <f t="shared" si="2"/>
        <v>3279813.18</v>
      </c>
      <c r="H25" s="159">
        <f t="shared" ref="H25" si="14">G25+G26</f>
        <v>3842726.93</v>
      </c>
      <c r="I25" s="75" t="s">
        <v>41</v>
      </c>
    </row>
    <row r="26" spans="1:9" ht="15.75" thickBot="1">
      <c r="A26" s="158"/>
      <c r="B26" s="61" t="s">
        <v>33</v>
      </c>
      <c r="C26" s="62">
        <v>1103</v>
      </c>
      <c r="D26" s="64">
        <v>432.49822999999998</v>
      </c>
      <c r="E26" s="63">
        <f t="shared" si="1"/>
        <v>477045.55</v>
      </c>
      <c r="F26" s="63">
        <f t="shared" si="4"/>
        <v>85868.2</v>
      </c>
      <c r="G26" s="63">
        <f t="shared" si="2"/>
        <v>562913.75</v>
      </c>
      <c r="H26" s="158"/>
      <c r="I26" s="76" t="s">
        <v>42</v>
      </c>
    </row>
    <row r="27" spans="1:9">
      <c r="C27" s="90">
        <f>C3+C5+C7+C9+C11+C13+C15+C17+C19+C21+C23+C25</f>
        <v>7192346</v>
      </c>
      <c r="F27" s="58" t="s">
        <v>31</v>
      </c>
      <c r="G27" s="81">
        <f>G3+G5+G7+G9+G11+G13+G15+G17+G19+G21+G23+G25</f>
        <v>29204978.43</v>
      </c>
    </row>
    <row r="28" spans="1:9" ht="15.75" thickBot="1">
      <c r="C28" s="90">
        <f>C25-C23</f>
        <v>100887</v>
      </c>
      <c r="F28" s="61" t="s">
        <v>33</v>
      </c>
      <c r="G28" s="81">
        <f>G29-G27</f>
        <v>6843347.950000003</v>
      </c>
    </row>
    <row r="29" spans="1:9">
      <c r="C29" s="90">
        <f>720000-C3</f>
        <v>307278</v>
      </c>
      <c r="G29" s="81">
        <f>SUM(H3:H26)</f>
        <v>36048326.380000003</v>
      </c>
    </row>
  </sheetData>
  <mergeCells count="25">
    <mergeCell ref="A1:H1"/>
    <mergeCell ref="A3:A4"/>
    <mergeCell ref="H3:H4"/>
    <mergeCell ref="A11:A12"/>
    <mergeCell ref="A25:A26"/>
    <mergeCell ref="H25:H26"/>
    <mergeCell ref="A15:A16"/>
    <mergeCell ref="H15:H16"/>
    <mergeCell ref="A17:A18"/>
    <mergeCell ref="H17:H18"/>
    <mergeCell ref="H11:H12"/>
    <mergeCell ref="A13:A14"/>
    <mergeCell ref="H13:H14"/>
    <mergeCell ref="A5:A6"/>
    <mergeCell ref="H5:H6"/>
    <mergeCell ref="A7:A8"/>
    <mergeCell ref="A21:A22"/>
    <mergeCell ref="H21:H22"/>
    <mergeCell ref="A23:A24"/>
    <mergeCell ref="H23:H24"/>
    <mergeCell ref="H7:H8"/>
    <mergeCell ref="A9:A10"/>
    <mergeCell ref="H9:H10"/>
    <mergeCell ref="A19:A20"/>
    <mergeCell ref="H19:H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2"/>
  <sheetViews>
    <sheetView zoomScale="90" zoomScaleNormal="90" workbookViewId="0">
      <selection activeCell="H3" sqref="H3:H26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8" width="14" customWidth="1"/>
    <col min="9" max="9" width="15.42578125" style="79" customWidth="1"/>
    <col min="10" max="10" width="11.140625" customWidth="1"/>
    <col min="12" max="12" width="16.28515625" customWidth="1"/>
  </cols>
  <sheetData>
    <row r="1" spans="1:12" ht="34.5" thickBot="1">
      <c r="A1" s="165" t="s">
        <v>45</v>
      </c>
      <c r="B1" s="165"/>
      <c r="C1" s="165"/>
      <c r="D1" s="165"/>
      <c r="E1" s="165"/>
      <c r="F1" s="165"/>
      <c r="G1" s="165"/>
      <c r="H1" s="165"/>
    </row>
    <row r="2" spans="1:12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57" t="s">
        <v>29</v>
      </c>
      <c r="L2" s="90">
        <f>C3+C5+C7+C9+C11+C13+C15+C17+C19+C21+C23+C25</f>
        <v>6712640</v>
      </c>
    </row>
    <row r="3" spans="1:12">
      <c r="A3" s="157" t="s">
        <v>0</v>
      </c>
      <c r="B3" s="58" t="s">
        <v>31</v>
      </c>
      <c r="C3" s="66">
        <v>523315</v>
      </c>
      <c r="D3" s="65">
        <v>3.44841</v>
      </c>
      <c r="E3" s="60">
        <v>1804604.6</v>
      </c>
      <c r="F3" s="60">
        <f>ROUND(E3*0.18,2)</f>
        <v>324828.83</v>
      </c>
      <c r="G3" s="60">
        <f>ROUND(E3+F3,2)</f>
        <v>2129433.4300000002</v>
      </c>
      <c r="H3" s="159">
        <f>G3+G4</f>
        <v>2703164.5300000003</v>
      </c>
      <c r="I3" s="79" t="s">
        <v>46</v>
      </c>
    </row>
    <row r="4" spans="1:12" ht="15.75" thickBot="1">
      <c r="A4" s="158"/>
      <c r="B4" s="61" t="s">
        <v>33</v>
      </c>
      <c r="C4" s="67">
        <v>896</v>
      </c>
      <c r="D4" s="64">
        <v>542.64822000000004</v>
      </c>
      <c r="E4" s="63">
        <v>486212.8</v>
      </c>
      <c r="F4" s="63">
        <f t="shared" ref="F4" si="0">ROUND(E4*0.18,2)</f>
        <v>87518.3</v>
      </c>
      <c r="G4" s="63">
        <f>ROUND(E4+F4,2)</f>
        <v>573731.1</v>
      </c>
      <c r="H4" s="158"/>
      <c r="I4" s="79" t="s">
        <v>47</v>
      </c>
      <c r="L4" s="90">
        <f>C4+C6+C8+C10+C12+C14+C16+C18+C20+C22+C24+C26</f>
        <v>11440</v>
      </c>
    </row>
    <row r="5" spans="1:12">
      <c r="A5" s="157" t="s">
        <v>1</v>
      </c>
      <c r="B5" s="58" t="s">
        <v>31</v>
      </c>
      <c r="C5" s="66">
        <v>657244</v>
      </c>
      <c r="D5" s="65">
        <v>3.53159</v>
      </c>
      <c r="E5" s="60">
        <v>2321115.1800000002</v>
      </c>
      <c r="F5" s="60">
        <v>417800.74</v>
      </c>
      <c r="G5" s="60">
        <f t="shared" ref="G5:G27" si="1">ROUND(E5+F5,2)</f>
        <v>2738915.92</v>
      </c>
      <c r="H5" s="159">
        <f t="shared" ref="H5" si="2">G5+G6</f>
        <v>3372610.27</v>
      </c>
      <c r="I5" s="79" t="s">
        <v>48</v>
      </c>
    </row>
    <row r="6" spans="1:12" ht="15.75" thickBot="1">
      <c r="A6" s="158"/>
      <c r="B6" s="61" t="s">
        <v>33</v>
      </c>
      <c r="C6" s="67">
        <v>1124</v>
      </c>
      <c r="D6" s="64">
        <v>477.78388999999999</v>
      </c>
      <c r="E6" s="63">
        <v>537029.11</v>
      </c>
      <c r="F6" s="63">
        <f t="shared" ref="F6:F27" si="3">ROUND(E6*0.18,2)</f>
        <v>96665.24</v>
      </c>
      <c r="G6" s="63">
        <f t="shared" si="1"/>
        <v>633694.35</v>
      </c>
      <c r="H6" s="158"/>
      <c r="I6" s="79" t="s">
        <v>49</v>
      </c>
    </row>
    <row r="7" spans="1:12">
      <c r="A7" s="157" t="s">
        <v>2</v>
      </c>
      <c r="B7" s="58" t="s">
        <v>31</v>
      </c>
      <c r="C7" s="66">
        <v>654163</v>
      </c>
      <c r="D7" s="65">
        <v>3.5550700000000002</v>
      </c>
      <c r="E7" s="60">
        <v>2325595.7200000002</v>
      </c>
      <c r="F7" s="60">
        <f t="shared" si="3"/>
        <v>418607.23</v>
      </c>
      <c r="G7" s="60">
        <f t="shared" si="1"/>
        <v>2744202.95</v>
      </c>
      <c r="H7" s="159">
        <f t="shared" ref="H7" si="4">G7+G8</f>
        <v>3316743.39</v>
      </c>
      <c r="I7" s="79" t="s">
        <v>50</v>
      </c>
      <c r="L7" s="81">
        <f>G3+G5+G7+G9+G11+G13+G15+G17+G19+G21+G23+G25</f>
        <v>28875796.52</v>
      </c>
    </row>
    <row r="8" spans="1:12" ht="15.75" thickBot="1">
      <c r="A8" s="158"/>
      <c r="B8" s="61" t="s">
        <v>33</v>
      </c>
      <c r="C8" s="67">
        <v>905</v>
      </c>
      <c r="D8" s="64">
        <v>536.13674000000003</v>
      </c>
      <c r="E8" s="63">
        <v>485203.76</v>
      </c>
      <c r="F8" s="63">
        <f t="shared" si="3"/>
        <v>87336.68</v>
      </c>
      <c r="G8" s="63">
        <f t="shared" si="1"/>
        <v>572540.43999999994</v>
      </c>
      <c r="H8" s="158"/>
      <c r="I8" s="79" t="s">
        <v>51</v>
      </c>
      <c r="J8" s="112">
        <v>7959761.1699999999</v>
      </c>
    </row>
    <row r="9" spans="1:12">
      <c r="A9" s="157" t="s">
        <v>3</v>
      </c>
      <c r="B9" s="58" t="s">
        <v>31</v>
      </c>
      <c r="C9" s="66">
        <v>565629</v>
      </c>
      <c r="D9" s="65">
        <v>3.4811399999999999</v>
      </c>
      <c r="E9" s="60">
        <v>1969032.8</v>
      </c>
      <c r="F9" s="60">
        <v>354425.91</v>
      </c>
      <c r="G9" s="60">
        <f t="shared" si="1"/>
        <v>2323458.71</v>
      </c>
      <c r="H9" s="159">
        <f t="shared" ref="H9" si="5">G9+G10</f>
        <v>2765245.9299999997</v>
      </c>
      <c r="I9" s="79" t="s">
        <v>52</v>
      </c>
    </row>
    <row r="10" spans="1:12" ht="15.75" thickBot="1">
      <c r="A10" s="158"/>
      <c r="B10" s="61" t="s">
        <v>33</v>
      </c>
      <c r="C10" s="67">
        <v>722</v>
      </c>
      <c r="D10" s="64">
        <v>518.55391999999995</v>
      </c>
      <c r="E10" s="63">
        <v>374395.95</v>
      </c>
      <c r="F10" s="63">
        <f t="shared" si="3"/>
        <v>67391.27</v>
      </c>
      <c r="G10" s="63">
        <f t="shared" si="1"/>
        <v>441787.22</v>
      </c>
      <c r="H10" s="158"/>
      <c r="I10" s="79" t="s">
        <v>53</v>
      </c>
      <c r="L10" s="81">
        <f>G4+G6+G8+G10+G12+G14+G16+G18+G20+G22+G24+G26</f>
        <v>7079281.790000001</v>
      </c>
    </row>
    <row r="11" spans="1:12">
      <c r="A11" s="157" t="s">
        <v>4</v>
      </c>
      <c r="B11" s="58" t="s">
        <v>31</v>
      </c>
      <c r="C11" s="66">
        <v>398122</v>
      </c>
      <c r="D11" s="65">
        <v>3.3904999999999998</v>
      </c>
      <c r="E11" s="60">
        <v>1349830.79</v>
      </c>
      <c r="F11" s="60">
        <f t="shared" si="3"/>
        <v>242969.54</v>
      </c>
      <c r="G11" s="60">
        <f t="shared" si="1"/>
        <v>1592800.33</v>
      </c>
      <c r="H11" s="159">
        <f t="shared" ref="H11" si="6">G11+G12</f>
        <v>1968464.08</v>
      </c>
      <c r="I11" s="79" t="s">
        <v>54</v>
      </c>
    </row>
    <row r="12" spans="1:12" ht="15.75" thickBot="1">
      <c r="A12" s="158"/>
      <c r="B12" s="61" t="s">
        <v>33</v>
      </c>
      <c r="C12" s="67">
        <v>593</v>
      </c>
      <c r="D12" s="64">
        <v>536.86190999999997</v>
      </c>
      <c r="E12" s="63">
        <f t="shared" ref="E12:E24" si="7">ROUND(C12*D12,2)</f>
        <v>318359.11</v>
      </c>
      <c r="F12" s="63">
        <f t="shared" si="3"/>
        <v>57304.639999999999</v>
      </c>
      <c r="G12" s="63">
        <f t="shared" si="1"/>
        <v>375663.75</v>
      </c>
      <c r="H12" s="158"/>
      <c r="I12" s="79" t="s">
        <v>55</v>
      </c>
    </row>
    <row r="13" spans="1:12">
      <c r="A13" s="157" t="s">
        <v>5</v>
      </c>
      <c r="B13" s="58" t="s">
        <v>31</v>
      </c>
      <c r="C13" s="66">
        <v>437583</v>
      </c>
      <c r="D13" s="80">
        <v>3.5037799999999999</v>
      </c>
      <c r="E13" s="60">
        <f t="shared" si="7"/>
        <v>1533194.56</v>
      </c>
      <c r="F13" s="60">
        <f t="shared" si="3"/>
        <v>275975.02</v>
      </c>
      <c r="G13" s="60">
        <f t="shared" si="1"/>
        <v>1809169.58</v>
      </c>
      <c r="H13" s="159">
        <f t="shared" ref="H13" si="8">G13+G14</f>
        <v>2591227.58</v>
      </c>
      <c r="I13" s="79" t="s">
        <v>56</v>
      </c>
    </row>
    <row r="14" spans="1:12" ht="15.75" thickBot="1">
      <c r="A14" s="158"/>
      <c r="B14" s="61" t="s">
        <v>33</v>
      </c>
      <c r="C14" s="67">
        <v>1261</v>
      </c>
      <c r="D14" s="64">
        <v>525.58367999999996</v>
      </c>
      <c r="E14" s="63">
        <f t="shared" si="7"/>
        <v>662761.02</v>
      </c>
      <c r="F14" s="63">
        <f t="shared" si="3"/>
        <v>119296.98</v>
      </c>
      <c r="G14" s="63">
        <f t="shared" si="1"/>
        <v>782058</v>
      </c>
      <c r="H14" s="158"/>
      <c r="I14" s="79" t="s">
        <v>57</v>
      </c>
      <c r="J14" s="112">
        <v>6207574.2300000004</v>
      </c>
    </row>
    <row r="15" spans="1:12">
      <c r="A15" s="157" t="s">
        <v>6</v>
      </c>
      <c r="B15" s="58" t="s">
        <v>31</v>
      </c>
      <c r="C15" s="66">
        <v>419512</v>
      </c>
      <c r="D15" s="65">
        <v>3.7853599999999998</v>
      </c>
      <c r="E15" s="60">
        <v>1588003.15</v>
      </c>
      <c r="F15" s="60">
        <f t="shared" si="3"/>
        <v>285840.57</v>
      </c>
      <c r="G15" s="60">
        <f t="shared" si="1"/>
        <v>1873843.72</v>
      </c>
      <c r="H15" s="159">
        <f t="shared" ref="H15" si="9">G15+G16</f>
        <v>2819790.44</v>
      </c>
      <c r="I15" s="79" t="s">
        <v>62</v>
      </c>
    </row>
    <row r="16" spans="1:12" ht="15.75" thickBot="1">
      <c r="A16" s="158"/>
      <c r="B16" s="61" t="s">
        <v>33</v>
      </c>
      <c r="C16" s="67">
        <v>1413</v>
      </c>
      <c r="D16" s="64">
        <v>567.33883000000003</v>
      </c>
      <c r="E16" s="63">
        <v>801649.76</v>
      </c>
      <c r="F16" s="63">
        <f t="shared" si="3"/>
        <v>144296.95999999999</v>
      </c>
      <c r="G16" s="63">
        <f t="shared" si="1"/>
        <v>945946.72</v>
      </c>
      <c r="H16" s="158"/>
      <c r="I16" s="79" t="s">
        <v>63</v>
      </c>
    </row>
    <row r="17" spans="1:10">
      <c r="A17" s="157" t="s">
        <v>7</v>
      </c>
      <c r="B17" s="58" t="s">
        <v>31</v>
      </c>
      <c r="C17" s="66">
        <v>405109</v>
      </c>
      <c r="D17" s="65">
        <v>3.7276500000000001</v>
      </c>
      <c r="E17" s="60">
        <v>1510105.66</v>
      </c>
      <c r="F17" s="60">
        <v>271819.01</v>
      </c>
      <c r="G17" s="60">
        <f t="shared" si="1"/>
        <v>1781924.67</v>
      </c>
      <c r="H17" s="159">
        <f t="shared" ref="H17" si="10">G17+G18</f>
        <v>2125102.4699999997</v>
      </c>
      <c r="I17" s="79" t="s">
        <v>64</v>
      </c>
    </row>
    <row r="18" spans="1:10" ht="15.75" thickBot="1">
      <c r="A18" s="158"/>
      <c r="B18" s="61" t="s">
        <v>33</v>
      </c>
      <c r="C18" s="67">
        <v>704</v>
      </c>
      <c r="D18" s="64">
        <v>413.10885999999999</v>
      </c>
      <c r="E18" s="63">
        <f t="shared" si="7"/>
        <v>290828.64</v>
      </c>
      <c r="F18" s="63">
        <f t="shared" si="3"/>
        <v>52349.16</v>
      </c>
      <c r="G18" s="63">
        <f t="shared" si="1"/>
        <v>343177.8</v>
      </c>
      <c r="H18" s="158"/>
      <c r="I18" s="79" t="s">
        <v>65</v>
      </c>
    </row>
    <row r="19" spans="1:10">
      <c r="A19" s="157" t="s">
        <v>8</v>
      </c>
      <c r="B19" s="58" t="s">
        <v>31</v>
      </c>
      <c r="C19" s="77">
        <v>524408</v>
      </c>
      <c r="D19" s="65">
        <v>3.8509600000000002</v>
      </c>
      <c r="E19" s="60">
        <v>2019472.32</v>
      </c>
      <c r="F19" s="60">
        <f t="shared" si="3"/>
        <v>363505.02</v>
      </c>
      <c r="G19" s="60">
        <f t="shared" si="1"/>
        <v>2382977.34</v>
      </c>
      <c r="H19" s="159">
        <f t="shared" ref="H19" si="11">G19+G20</f>
        <v>2778434.6999999997</v>
      </c>
      <c r="I19" s="79" t="s">
        <v>67</v>
      </c>
      <c r="J19" s="114"/>
    </row>
    <row r="20" spans="1:10" ht="15.75" thickBot="1">
      <c r="A20" s="158"/>
      <c r="B20" s="61" t="s">
        <v>33</v>
      </c>
      <c r="C20" s="78">
        <v>690</v>
      </c>
      <c r="D20" s="64">
        <v>485.70053000000001</v>
      </c>
      <c r="E20" s="63">
        <f>ROUND(C20*D20,2)-0.01</f>
        <v>335133.36</v>
      </c>
      <c r="F20" s="63">
        <f t="shared" si="3"/>
        <v>60324</v>
      </c>
      <c r="G20" s="63">
        <f t="shared" si="1"/>
        <v>395457.36</v>
      </c>
      <c r="H20" s="158"/>
      <c r="I20" s="79" t="s">
        <v>68</v>
      </c>
      <c r="J20" s="113">
        <v>6545192.8899999997</v>
      </c>
    </row>
    <row r="21" spans="1:10">
      <c r="A21" s="157" t="s">
        <v>9</v>
      </c>
      <c r="B21" s="58" t="s">
        <v>31</v>
      </c>
      <c r="C21" s="77">
        <v>665290</v>
      </c>
      <c r="D21" s="65">
        <v>3.9155799999999998</v>
      </c>
      <c r="E21" s="60">
        <v>2604995.33</v>
      </c>
      <c r="F21" s="60">
        <f t="shared" si="3"/>
        <v>468899.16</v>
      </c>
      <c r="G21" s="60">
        <f t="shared" si="1"/>
        <v>3073894.49</v>
      </c>
      <c r="H21" s="159">
        <f t="shared" ref="H21" si="12">G21+G22</f>
        <v>3721344.3200000003</v>
      </c>
      <c r="I21" s="79" t="s">
        <v>74</v>
      </c>
    </row>
    <row r="22" spans="1:10" ht="15.75" thickBot="1">
      <c r="A22" s="158"/>
      <c r="B22" s="61" t="s">
        <v>33</v>
      </c>
      <c r="C22" s="78">
        <v>1017</v>
      </c>
      <c r="D22" s="64">
        <v>539.51455999999996</v>
      </c>
      <c r="E22" s="63">
        <v>548686.30000000005</v>
      </c>
      <c r="F22" s="63">
        <f t="shared" si="3"/>
        <v>98763.53</v>
      </c>
      <c r="G22" s="63">
        <f t="shared" si="1"/>
        <v>647449.82999999996</v>
      </c>
      <c r="H22" s="158"/>
      <c r="I22" s="79" t="s">
        <v>75</v>
      </c>
    </row>
    <row r="23" spans="1:10">
      <c r="A23" s="157" t="s">
        <v>10</v>
      </c>
      <c r="B23" s="58" t="s">
        <v>31</v>
      </c>
      <c r="C23" s="77">
        <v>673531</v>
      </c>
      <c r="D23" s="65">
        <v>3.7742599999999999</v>
      </c>
      <c r="E23" s="60">
        <v>2542083.5299999998</v>
      </c>
      <c r="F23" s="60">
        <f t="shared" si="3"/>
        <v>457575.04</v>
      </c>
      <c r="G23" s="60">
        <f t="shared" si="1"/>
        <v>2999658.57</v>
      </c>
      <c r="H23" s="159">
        <f t="shared" ref="H23" si="13">G23+G24</f>
        <v>3664900.0999999996</v>
      </c>
      <c r="I23" s="79" t="s">
        <v>76</v>
      </c>
    </row>
    <row r="24" spans="1:10" ht="15.75" thickBot="1">
      <c r="A24" s="158"/>
      <c r="B24" s="61" t="s">
        <v>33</v>
      </c>
      <c r="C24" s="78">
        <v>1062</v>
      </c>
      <c r="D24" s="64">
        <v>530.85122999999999</v>
      </c>
      <c r="E24" s="63">
        <f t="shared" si="7"/>
        <v>563764.01</v>
      </c>
      <c r="F24" s="63">
        <f t="shared" si="3"/>
        <v>101477.52</v>
      </c>
      <c r="G24" s="63">
        <f t="shared" si="1"/>
        <v>665241.53</v>
      </c>
      <c r="H24" s="158"/>
      <c r="I24" s="79" t="s">
        <v>77</v>
      </c>
    </row>
    <row r="25" spans="1:10">
      <c r="A25" s="157" t="s">
        <v>11</v>
      </c>
      <c r="B25" s="58" t="s">
        <v>31</v>
      </c>
      <c r="C25" s="77">
        <v>788734</v>
      </c>
      <c r="D25" s="65">
        <v>3.6805599999999998</v>
      </c>
      <c r="E25" s="60">
        <v>2902980.34</v>
      </c>
      <c r="F25" s="60">
        <f>ROUND(E25*0.18,2)+0.01</f>
        <v>522536.47000000003</v>
      </c>
      <c r="G25" s="60">
        <f t="shared" si="1"/>
        <v>3425516.81</v>
      </c>
      <c r="H25" s="159">
        <f t="shared" ref="H25" si="14">G25+G26</f>
        <v>4128050.5</v>
      </c>
      <c r="I25" s="79" t="s">
        <v>80</v>
      </c>
    </row>
    <row r="26" spans="1:10" ht="15.75" thickBot="1">
      <c r="A26" s="158"/>
      <c r="B26" s="61" t="s">
        <v>33</v>
      </c>
      <c r="C26" s="78">
        <v>1053</v>
      </c>
      <c r="D26" s="64">
        <v>565.40125</v>
      </c>
      <c r="E26" s="63">
        <f>ROUND(C26*D26,2)+0.01</f>
        <v>595367.53</v>
      </c>
      <c r="F26" s="63">
        <f t="shared" si="3"/>
        <v>107166.16</v>
      </c>
      <c r="G26" s="63">
        <f t="shared" si="1"/>
        <v>702533.69</v>
      </c>
      <c r="H26" s="158"/>
      <c r="I26" s="79" t="s">
        <v>81</v>
      </c>
      <c r="J26" s="113">
        <v>9757877.0399999991</v>
      </c>
    </row>
    <row r="27" spans="1:10" ht="15.75" thickBot="1">
      <c r="C27" s="90">
        <f>C3+C5+C7+C9+C11+C13+C15+C17+C19+C21+C23+C25</f>
        <v>6712640</v>
      </c>
      <c r="E27" s="116">
        <f>SUM(E3:E26)</f>
        <v>30470405.330000002</v>
      </c>
      <c r="F27" s="116">
        <f t="shared" si="3"/>
        <v>5484672.96</v>
      </c>
      <c r="G27" s="116">
        <f t="shared" si="1"/>
        <v>35955078.289999999</v>
      </c>
      <c r="J27">
        <f>SUM(J8:J26)</f>
        <v>30470405.329999998</v>
      </c>
    </row>
    <row r="29" spans="1:10">
      <c r="C29" s="90">
        <f>C3+C5+C7+C9+C11+C13</f>
        <v>3236056</v>
      </c>
      <c r="D29">
        <f>ROUND(E29/C29,5)</f>
        <v>3.49295</v>
      </c>
      <c r="E29" s="81">
        <f>E3+E5+E7+E9+E11+E13</f>
        <v>11303373.65</v>
      </c>
    </row>
    <row r="30" spans="1:10">
      <c r="C30" s="90">
        <f>C4+C6+C8+C10+C12+C14</f>
        <v>5501</v>
      </c>
      <c r="D30">
        <f>ROUND(E30/C30,5)</f>
        <v>520.62566000000004</v>
      </c>
      <c r="E30" s="81">
        <f>E4+E6+E8+E10+E12+E14</f>
        <v>2863961.75</v>
      </c>
    </row>
    <row r="31" spans="1:10">
      <c r="C31" s="90">
        <f>C15+C17+C19+C21+C23+C25</f>
        <v>3476584</v>
      </c>
      <c r="D31">
        <f>ROUND(E31/C31,5)</f>
        <v>3.7875200000000002</v>
      </c>
      <c r="E31" s="81">
        <f>E15+E17+E19+E21+E23+E25</f>
        <v>13167640.33</v>
      </c>
    </row>
    <row r="32" spans="1:10">
      <c r="C32" s="90">
        <f>C16+C18+C20+C22+C24+C26</f>
        <v>5939</v>
      </c>
      <c r="D32">
        <f>ROUND(E32/C32,5)</f>
        <v>527.93898000000002</v>
      </c>
      <c r="E32" s="81">
        <f>E16+E18+E20+E22+E24+E26</f>
        <v>3135429.5999999996</v>
      </c>
    </row>
  </sheetData>
  <mergeCells count="25">
    <mergeCell ref="A23:A24"/>
    <mergeCell ref="H23:H24"/>
    <mergeCell ref="A25:A26"/>
    <mergeCell ref="H25:H26"/>
    <mergeCell ref="A15:A16"/>
    <mergeCell ref="H15:H16"/>
    <mergeCell ref="A17:A18"/>
    <mergeCell ref="H17:H18"/>
    <mergeCell ref="A19:A20"/>
    <mergeCell ref="H19:H20"/>
    <mergeCell ref="A21:A22"/>
    <mergeCell ref="H21:H22"/>
    <mergeCell ref="A9:A10"/>
    <mergeCell ref="H9:H10"/>
    <mergeCell ref="A11:A12"/>
    <mergeCell ref="H11:H12"/>
    <mergeCell ref="A13:A14"/>
    <mergeCell ref="H13:H14"/>
    <mergeCell ref="A7:A8"/>
    <mergeCell ref="H7:H8"/>
    <mergeCell ref="A1:H1"/>
    <mergeCell ref="A3:A4"/>
    <mergeCell ref="H3:H4"/>
    <mergeCell ref="A5:A6"/>
    <mergeCell ref="H5:H6"/>
  </mergeCell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A9" sqref="A1:XFD1048576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8" width="14" customWidth="1"/>
    <col min="9" max="9" width="15.42578125" style="79" customWidth="1"/>
    <col min="10" max="10" width="11.140625" customWidth="1"/>
    <col min="11" max="11" width="8.85546875" customWidth="1"/>
    <col min="12" max="13" width="11.85546875" customWidth="1"/>
  </cols>
  <sheetData>
    <row r="1" spans="1:10" ht="34.5" thickBot="1">
      <c r="A1" s="165" t="s">
        <v>82</v>
      </c>
      <c r="B1" s="165"/>
      <c r="C1" s="165"/>
      <c r="D1" s="165"/>
      <c r="E1" s="165"/>
      <c r="F1" s="165"/>
      <c r="G1" s="165"/>
      <c r="H1" s="165"/>
    </row>
    <row r="2" spans="1:10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57" t="s">
        <v>29</v>
      </c>
      <c r="I2" s="153" t="s">
        <v>120</v>
      </c>
    </row>
    <row r="3" spans="1:10">
      <c r="A3" s="157" t="s">
        <v>0</v>
      </c>
      <c r="B3" s="58" t="s">
        <v>31</v>
      </c>
      <c r="C3" s="66">
        <v>666589</v>
      </c>
      <c r="D3" s="65">
        <v>3.7666400000000002</v>
      </c>
      <c r="E3" s="145">
        <v>2510798.02</v>
      </c>
      <c r="F3" s="145">
        <v>451943.65</v>
      </c>
      <c r="G3" s="145">
        <f>ROUND(E3+F3,2)</f>
        <v>2962741.67</v>
      </c>
      <c r="H3" s="166">
        <f>G3+G4</f>
        <v>3798804.31</v>
      </c>
      <c r="I3" s="79" t="s">
        <v>84</v>
      </c>
    </row>
    <row r="4" spans="1:10" ht="15.75" thickBot="1">
      <c r="A4" s="158"/>
      <c r="B4" s="61" t="s">
        <v>33</v>
      </c>
      <c r="C4" s="67">
        <v>1166</v>
      </c>
      <c r="D4" s="64">
        <v>607.65665000000001</v>
      </c>
      <c r="E4" s="147">
        <v>708527.66</v>
      </c>
      <c r="F4" s="147">
        <f t="shared" ref="F4" si="0">ROUND(E4*0.18,2)</f>
        <v>127534.98</v>
      </c>
      <c r="G4" s="147">
        <f>ROUND(E4+F4,2)</f>
        <v>836062.64</v>
      </c>
      <c r="H4" s="167"/>
      <c r="I4" s="79" t="s">
        <v>85</v>
      </c>
    </row>
    <row r="5" spans="1:10">
      <c r="A5" s="157" t="s">
        <v>1</v>
      </c>
      <c r="B5" s="58" t="s">
        <v>31</v>
      </c>
      <c r="C5" s="66">
        <v>737813</v>
      </c>
      <c r="D5" s="65">
        <v>3.75129</v>
      </c>
      <c r="E5" s="145">
        <v>2767753.66</v>
      </c>
      <c r="F5" s="145">
        <v>498195.66</v>
      </c>
      <c r="G5" s="145">
        <f t="shared" ref="G5:G26" si="1">ROUND(E5+F5,2)</f>
        <v>3265949.32</v>
      </c>
      <c r="H5" s="166">
        <f t="shared" ref="H5" si="2">G5+G6</f>
        <v>4027434.7199999997</v>
      </c>
      <c r="I5" s="79" t="s">
        <v>88</v>
      </c>
    </row>
    <row r="6" spans="1:10" ht="15.75" thickBot="1">
      <c r="A6" s="158"/>
      <c r="B6" s="61" t="s">
        <v>33</v>
      </c>
      <c r="C6" s="67">
        <v>1152</v>
      </c>
      <c r="D6" s="64">
        <v>560.17935999999997</v>
      </c>
      <c r="E6" s="147">
        <v>645326.61</v>
      </c>
      <c r="F6" s="147">
        <v>116158.79</v>
      </c>
      <c r="G6" s="147">
        <f t="shared" si="1"/>
        <v>761485.4</v>
      </c>
      <c r="H6" s="167"/>
      <c r="I6" s="79" t="s">
        <v>87</v>
      </c>
    </row>
    <row r="7" spans="1:10">
      <c r="A7" s="157" t="s">
        <v>2</v>
      </c>
      <c r="B7" s="58" t="s">
        <v>31</v>
      </c>
      <c r="C7" s="66">
        <v>724460</v>
      </c>
      <c r="D7" s="65">
        <v>3.6943000000000001</v>
      </c>
      <c r="E7" s="145">
        <v>2676370.81</v>
      </c>
      <c r="F7" s="145">
        <f t="shared" ref="F7:F24" si="3">ROUND(E7*0.18,2)</f>
        <v>481746.75</v>
      </c>
      <c r="G7" s="145">
        <f t="shared" si="1"/>
        <v>3158117.56</v>
      </c>
      <c r="H7" s="166">
        <f t="shared" ref="H7" si="4">G7+G8</f>
        <v>4006414.8200000003</v>
      </c>
      <c r="I7" s="79" t="s">
        <v>89</v>
      </c>
    </row>
    <row r="8" spans="1:10" ht="15.75" thickBot="1">
      <c r="A8" s="158"/>
      <c r="B8" s="61" t="s">
        <v>33</v>
      </c>
      <c r="C8" s="67">
        <v>1041</v>
      </c>
      <c r="D8" s="64">
        <v>690.58210999999994</v>
      </c>
      <c r="E8" s="147">
        <f t="shared" ref="E8:E24" si="5">ROUND(C8*D8,2)</f>
        <v>718895.98</v>
      </c>
      <c r="F8" s="147">
        <f t="shared" si="3"/>
        <v>129401.28</v>
      </c>
      <c r="G8" s="147">
        <f t="shared" si="1"/>
        <v>848297.26</v>
      </c>
      <c r="H8" s="167"/>
      <c r="I8" s="79" t="s">
        <v>92</v>
      </c>
      <c r="J8" s="112"/>
    </row>
    <row r="9" spans="1:10">
      <c r="A9" s="157" t="s">
        <v>3</v>
      </c>
      <c r="B9" s="58" t="s">
        <v>31</v>
      </c>
      <c r="C9" s="66">
        <v>598578</v>
      </c>
      <c r="D9" s="65">
        <v>3.63531</v>
      </c>
      <c r="E9" s="145">
        <v>2176013.64</v>
      </c>
      <c r="F9" s="145">
        <f t="shared" si="3"/>
        <v>391682.46</v>
      </c>
      <c r="G9" s="145">
        <f t="shared" si="1"/>
        <v>2567696.1</v>
      </c>
      <c r="H9" s="166">
        <f t="shared" ref="H9" si="6">G9+G10</f>
        <v>3313067.6</v>
      </c>
      <c r="I9" s="79" t="s">
        <v>94</v>
      </c>
    </row>
    <row r="10" spans="1:10" ht="15.75" thickBot="1">
      <c r="A10" s="158"/>
      <c r="B10" s="61" t="s">
        <v>33</v>
      </c>
      <c r="C10" s="67">
        <v>1274</v>
      </c>
      <c r="D10" s="64">
        <v>495.81691999999998</v>
      </c>
      <c r="E10" s="147">
        <f t="shared" si="5"/>
        <v>631670.76</v>
      </c>
      <c r="F10" s="147">
        <f t="shared" si="3"/>
        <v>113700.74</v>
      </c>
      <c r="G10" s="147">
        <f t="shared" si="1"/>
        <v>745371.5</v>
      </c>
      <c r="H10" s="167"/>
      <c r="I10" s="79" t="s">
        <v>93</v>
      </c>
    </row>
    <row r="11" spans="1:10">
      <c r="A11" s="157" t="s">
        <v>4</v>
      </c>
      <c r="B11" s="58" t="s">
        <v>31</v>
      </c>
      <c r="C11" s="66">
        <v>586246</v>
      </c>
      <c r="D11" s="65">
        <v>3.6839200000000001</v>
      </c>
      <c r="E11" s="145">
        <v>2159683.7799999998</v>
      </c>
      <c r="F11" s="145">
        <f t="shared" si="3"/>
        <v>388743.08</v>
      </c>
      <c r="G11" s="145">
        <f t="shared" si="1"/>
        <v>2548426.86</v>
      </c>
      <c r="H11" s="166">
        <f t="shared" ref="H11" si="7">G11+G12</f>
        <v>3343045.1399999997</v>
      </c>
      <c r="I11" s="79" t="s">
        <v>95</v>
      </c>
    </row>
    <row r="12" spans="1:10" ht="15.75" thickBot="1">
      <c r="A12" s="158"/>
      <c r="B12" s="61" t="s">
        <v>33</v>
      </c>
      <c r="C12" s="67">
        <v>1054</v>
      </c>
      <c r="D12" s="64">
        <v>638.90446999999995</v>
      </c>
      <c r="E12" s="147">
        <v>673405.32</v>
      </c>
      <c r="F12" s="147">
        <f t="shared" si="3"/>
        <v>121212.96</v>
      </c>
      <c r="G12" s="147">
        <f t="shared" si="1"/>
        <v>794618.28</v>
      </c>
      <c r="H12" s="167"/>
      <c r="I12" s="79" t="s">
        <v>96</v>
      </c>
    </row>
    <row r="13" spans="1:10">
      <c r="A13" s="157" t="s">
        <v>5</v>
      </c>
      <c r="B13" s="58" t="s">
        <v>31</v>
      </c>
      <c r="C13" s="66">
        <v>627247</v>
      </c>
      <c r="D13" s="80">
        <v>3.77325</v>
      </c>
      <c r="E13" s="145">
        <v>2366757.59</v>
      </c>
      <c r="F13" s="145">
        <v>426016.36</v>
      </c>
      <c r="G13" s="145">
        <f t="shared" si="1"/>
        <v>2792773.95</v>
      </c>
      <c r="H13" s="166">
        <f t="shared" ref="H13" si="8">G13+G14</f>
        <v>3586895.12</v>
      </c>
      <c r="I13" s="79" t="s">
        <v>99</v>
      </c>
    </row>
    <row r="14" spans="1:10" ht="15.75" thickBot="1">
      <c r="A14" s="158"/>
      <c r="B14" s="61" t="s">
        <v>33</v>
      </c>
      <c r="C14" s="67">
        <v>1305</v>
      </c>
      <c r="D14" s="64">
        <v>515.69659000000001</v>
      </c>
      <c r="E14" s="147">
        <v>672984.04</v>
      </c>
      <c r="F14" s="147">
        <f t="shared" si="3"/>
        <v>121137.13</v>
      </c>
      <c r="G14" s="147">
        <f t="shared" si="1"/>
        <v>794121.17</v>
      </c>
      <c r="H14" s="167"/>
      <c r="I14" s="79" t="s">
        <v>100</v>
      </c>
      <c r="J14" s="112"/>
    </row>
    <row r="15" spans="1:10">
      <c r="A15" s="157" t="s">
        <v>6</v>
      </c>
      <c r="B15" s="58" t="s">
        <v>31</v>
      </c>
      <c r="C15" s="66">
        <v>616150</v>
      </c>
      <c r="D15" s="65">
        <v>3.9622000000000002</v>
      </c>
      <c r="E15" s="145">
        <v>2441307.87</v>
      </c>
      <c r="F15" s="145">
        <v>439435.41</v>
      </c>
      <c r="G15" s="145">
        <f t="shared" si="1"/>
        <v>2880743.28</v>
      </c>
      <c r="H15" s="166">
        <f t="shared" ref="H15" si="9">G15+G16</f>
        <v>3730186.2299999995</v>
      </c>
      <c r="I15" s="79" t="s">
        <v>102</v>
      </c>
    </row>
    <row r="16" spans="1:10" ht="15.75" thickBot="1">
      <c r="A16" s="158"/>
      <c r="B16" s="61" t="s">
        <v>33</v>
      </c>
      <c r="C16" s="67">
        <v>1397</v>
      </c>
      <c r="D16" s="64">
        <v>515.29485999999997</v>
      </c>
      <c r="E16" s="147">
        <v>719866.91</v>
      </c>
      <c r="F16" s="147">
        <f t="shared" si="3"/>
        <v>129576.04</v>
      </c>
      <c r="G16" s="147">
        <f t="shared" si="1"/>
        <v>849442.95</v>
      </c>
      <c r="H16" s="167"/>
      <c r="I16" s="79" t="s">
        <v>103</v>
      </c>
    </row>
    <row r="17" spans="1:10">
      <c r="A17" s="157" t="s">
        <v>7</v>
      </c>
      <c r="B17" s="58" t="s">
        <v>31</v>
      </c>
      <c r="C17" s="66">
        <v>639640</v>
      </c>
      <c r="D17" s="65">
        <v>4.1376499999999998</v>
      </c>
      <c r="E17" s="145">
        <v>2646605.65</v>
      </c>
      <c r="F17" s="145">
        <v>476389.00999999995</v>
      </c>
      <c r="G17" s="145">
        <f t="shared" si="1"/>
        <v>3122994.66</v>
      </c>
      <c r="H17" s="166">
        <f t="shared" ref="H17" si="10">G17+G18</f>
        <v>3909957.6500000004</v>
      </c>
      <c r="I17" s="79" t="s">
        <v>106</v>
      </c>
    </row>
    <row r="18" spans="1:10" ht="15.75" thickBot="1">
      <c r="A18" s="158"/>
      <c r="B18" s="61" t="s">
        <v>33</v>
      </c>
      <c r="C18" s="67">
        <v>1322</v>
      </c>
      <c r="D18" s="64">
        <v>504.47638999999998</v>
      </c>
      <c r="E18" s="147">
        <f t="shared" si="5"/>
        <v>666917.79</v>
      </c>
      <c r="F18" s="147">
        <f t="shared" si="3"/>
        <v>120045.2</v>
      </c>
      <c r="G18" s="147">
        <f t="shared" si="1"/>
        <v>786962.99</v>
      </c>
      <c r="H18" s="167"/>
      <c r="I18" s="79" t="s">
        <v>107</v>
      </c>
    </row>
    <row r="19" spans="1:10">
      <c r="A19" s="157" t="s">
        <v>8</v>
      </c>
      <c r="B19" s="58" t="s">
        <v>31</v>
      </c>
      <c r="C19" s="110">
        <v>645185</v>
      </c>
      <c r="D19" s="65">
        <v>3.94082</v>
      </c>
      <c r="E19" s="145">
        <v>2542555.33</v>
      </c>
      <c r="F19" s="145">
        <v>457659.97</v>
      </c>
      <c r="G19" s="145">
        <f t="shared" si="1"/>
        <v>3000215.3</v>
      </c>
      <c r="H19" s="166">
        <f t="shared" ref="H19" si="11">G19+G20</f>
        <v>3652807.6599999997</v>
      </c>
      <c r="I19" s="79" t="s">
        <v>109</v>
      </c>
      <c r="J19" s="114"/>
    </row>
    <row r="20" spans="1:10" ht="15.75" thickBot="1">
      <c r="A20" s="158"/>
      <c r="B20" s="61" t="s">
        <v>33</v>
      </c>
      <c r="C20" s="111">
        <v>1149</v>
      </c>
      <c r="D20" s="64">
        <v>481.32670000000002</v>
      </c>
      <c r="E20" s="147">
        <v>553044.37</v>
      </c>
      <c r="F20" s="147">
        <f t="shared" si="3"/>
        <v>99547.99</v>
      </c>
      <c r="G20" s="147">
        <f t="shared" si="1"/>
        <v>652592.36</v>
      </c>
      <c r="H20" s="167"/>
      <c r="I20" s="79" t="s">
        <v>110</v>
      </c>
      <c r="J20" s="113"/>
    </row>
    <row r="21" spans="1:10">
      <c r="A21" s="157" t="s">
        <v>9</v>
      </c>
      <c r="B21" s="58" t="s">
        <v>31</v>
      </c>
      <c r="C21" s="110">
        <v>841532</v>
      </c>
      <c r="D21" s="65">
        <v>3.9654600000000002</v>
      </c>
      <c r="E21" s="145">
        <v>3337061.83</v>
      </c>
      <c r="F21" s="145">
        <v>600671.12</v>
      </c>
      <c r="G21" s="145">
        <f t="shared" si="1"/>
        <v>3937732.95</v>
      </c>
      <c r="H21" s="166">
        <f t="shared" ref="H21" si="12">G21+G22</f>
        <v>5036485.12</v>
      </c>
      <c r="I21" s="79" t="s">
        <v>114</v>
      </c>
    </row>
    <row r="22" spans="1:10" ht="15.75" thickBot="1">
      <c r="A22" s="158"/>
      <c r="B22" s="61" t="s">
        <v>33</v>
      </c>
      <c r="C22" s="111">
        <v>1603</v>
      </c>
      <c r="D22" s="64">
        <v>580.87705000000005</v>
      </c>
      <c r="E22" s="147">
        <f t="shared" si="5"/>
        <v>931145.91</v>
      </c>
      <c r="F22" s="147">
        <f t="shared" si="3"/>
        <v>167606.26</v>
      </c>
      <c r="G22" s="147">
        <f t="shared" si="1"/>
        <v>1098752.17</v>
      </c>
      <c r="H22" s="167"/>
      <c r="I22" s="79" t="s">
        <v>115</v>
      </c>
    </row>
    <row r="23" spans="1:10">
      <c r="A23" s="157" t="s">
        <v>10</v>
      </c>
      <c r="B23" s="58" t="s">
        <v>31</v>
      </c>
      <c r="C23" s="110">
        <v>1044008</v>
      </c>
      <c r="D23" s="65">
        <v>4.02041</v>
      </c>
      <c r="E23" s="145">
        <v>4197342.53</v>
      </c>
      <c r="F23" s="145">
        <f t="shared" si="3"/>
        <v>755521.66</v>
      </c>
      <c r="G23" s="145">
        <f t="shared" si="1"/>
        <v>4952864.1900000004</v>
      </c>
      <c r="H23" s="166">
        <f>G23+G24</f>
        <v>6433100.8500000006</v>
      </c>
      <c r="I23" s="79" t="s">
        <v>118</v>
      </c>
    </row>
    <row r="24" spans="1:10" ht="15.75" thickBot="1">
      <c r="A24" s="158"/>
      <c r="B24" s="61" t="s">
        <v>33</v>
      </c>
      <c r="C24" s="111">
        <v>2138</v>
      </c>
      <c r="D24" s="64">
        <v>586.73425999999995</v>
      </c>
      <c r="E24" s="147">
        <f t="shared" si="5"/>
        <v>1254437.8500000001</v>
      </c>
      <c r="F24" s="147">
        <f t="shared" si="3"/>
        <v>225798.81</v>
      </c>
      <c r="G24" s="147">
        <f t="shared" si="1"/>
        <v>1480236.66</v>
      </c>
      <c r="H24" s="167"/>
      <c r="I24" s="79" t="s">
        <v>119</v>
      </c>
    </row>
    <row r="25" spans="1:10">
      <c r="A25" s="157" t="s">
        <v>11</v>
      </c>
      <c r="B25" s="58" t="s">
        <v>31</v>
      </c>
      <c r="C25" s="110">
        <v>1267560</v>
      </c>
      <c r="D25" s="65">
        <v>4.1322599999999996</v>
      </c>
      <c r="E25" s="145">
        <v>5237885.79</v>
      </c>
      <c r="F25" s="145">
        <v>942819.44</v>
      </c>
      <c r="G25" s="145">
        <f>ROUND(E25+F25,2)</f>
        <v>6180705.2300000004</v>
      </c>
      <c r="H25" s="166">
        <f t="shared" ref="H25" si="13">G25+G26</f>
        <v>7707046.3000000007</v>
      </c>
    </row>
    <row r="26" spans="1:10" ht="15.75" thickBot="1">
      <c r="A26" s="158"/>
      <c r="B26" s="61" t="s">
        <v>33</v>
      </c>
      <c r="C26" s="111">
        <v>2623</v>
      </c>
      <c r="D26" s="64">
        <v>493.14121</v>
      </c>
      <c r="E26" s="147">
        <v>1293509.3799999999</v>
      </c>
      <c r="F26" s="147">
        <v>232831.69</v>
      </c>
      <c r="G26" s="147">
        <f t="shared" si="1"/>
        <v>1526341.07</v>
      </c>
      <c r="H26" s="167"/>
      <c r="J26" s="113"/>
    </row>
    <row r="27" spans="1:10">
      <c r="E27" s="81">
        <f>SUM(E3:E26)</f>
        <v>44529869.079999998</v>
      </c>
      <c r="F27" s="115">
        <f t="shared" ref="F27" si="14">ROUND(E27*0.18,2)</f>
        <v>8015376.4299999997</v>
      </c>
      <c r="G27" s="115">
        <f>ROUND(E27+F27,2)</f>
        <v>52545245.509999998</v>
      </c>
    </row>
    <row r="29" spans="1:10">
      <c r="F29" s="156">
        <f>1175651.13-F26</f>
        <v>942819.44</v>
      </c>
    </row>
    <row r="31" spans="1:10" ht="15.75">
      <c r="G31" s="152"/>
    </row>
  </sheetData>
  <mergeCells count="25">
    <mergeCell ref="A21:A22"/>
    <mergeCell ref="H21:H22"/>
    <mergeCell ref="A23:A24"/>
    <mergeCell ref="H23:H24"/>
    <mergeCell ref="A25:A26"/>
    <mergeCell ref="H25:H26"/>
    <mergeCell ref="A15:A16"/>
    <mergeCell ref="H15:H16"/>
    <mergeCell ref="A17:A18"/>
    <mergeCell ref="H17:H18"/>
    <mergeCell ref="A19:A20"/>
    <mergeCell ref="H19:H20"/>
    <mergeCell ref="A9:A10"/>
    <mergeCell ref="H9:H10"/>
    <mergeCell ref="A11:A12"/>
    <mergeCell ref="H11:H12"/>
    <mergeCell ref="A13:A14"/>
    <mergeCell ref="H13:H14"/>
    <mergeCell ref="A7:A8"/>
    <mergeCell ref="H7:H8"/>
    <mergeCell ref="A1:H1"/>
    <mergeCell ref="A3:A4"/>
    <mergeCell ref="H3:H4"/>
    <mergeCell ref="A5:A6"/>
    <mergeCell ref="H5:H6"/>
  </mergeCells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B1" workbookViewId="0">
      <selection activeCell="K9" sqref="K9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8" width="14" customWidth="1"/>
    <col min="9" max="9" width="15.42578125" style="79" customWidth="1"/>
    <col min="10" max="10" width="11.140625" customWidth="1"/>
    <col min="11" max="11" width="8.85546875" customWidth="1"/>
    <col min="12" max="13" width="11.85546875" customWidth="1"/>
  </cols>
  <sheetData>
    <row r="1" spans="1:10" ht="34.5" thickBot="1">
      <c r="A1" s="165" t="s">
        <v>121</v>
      </c>
      <c r="B1" s="165"/>
      <c r="C1" s="165"/>
      <c r="D1" s="165"/>
      <c r="E1" s="165"/>
      <c r="F1" s="165"/>
      <c r="G1" s="165"/>
      <c r="H1" s="165"/>
    </row>
    <row r="2" spans="1:10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57" t="s">
        <v>29</v>
      </c>
      <c r="I2" s="153" t="s">
        <v>120</v>
      </c>
    </row>
    <row r="3" spans="1:10">
      <c r="A3" s="157" t="s">
        <v>0</v>
      </c>
      <c r="B3" s="58" t="s">
        <v>31</v>
      </c>
      <c r="C3" s="66">
        <v>1128103</v>
      </c>
      <c r="D3" s="65">
        <v>3.8091300000000001</v>
      </c>
      <c r="E3" s="259">
        <v>4297091.82</v>
      </c>
      <c r="F3" s="145">
        <f t="shared" ref="F3:F6" si="0">ROUND(E3*0.18,2)</f>
        <v>773476.53</v>
      </c>
      <c r="G3" s="145">
        <f t="shared" ref="G3:G7" si="1">ROUND(E3+F3,2)</f>
        <v>5070568.3499999996</v>
      </c>
      <c r="H3" s="166">
        <f>G3+G4</f>
        <v>6459245.5999999996</v>
      </c>
      <c r="I3" s="79" t="s">
        <v>128</v>
      </c>
    </row>
    <row r="4" spans="1:10" ht="15.75" thickBot="1">
      <c r="A4" s="158"/>
      <c r="B4" s="61" t="s">
        <v>33</v>
      </c>
      <c r="C4" s="67">
        <v>2451</v>
      </c>
      <c r="D4" s="64">
        <v>480.14897000000002</v>
      </c>
      <c r="E4" s="147">
        <f>ROUND(C4*D4,2)</f>
        <v>1176845.1299999999</v>
      </c>
      <c r="F4" s="147">
        <f t="shared" si="0"/>
        <v>211832.12</v>
      </c>
      <c r="G4" s="147">
        <f t="shared" si="1"/>
        <v>1388677.25</v>
      </c>
      <c r="H4" s="167"/>
      <c r="I4" s="79" t="s">
        <v>129</v>
      </c>
    </row>
    <row r="5" spans="1:10">
      <c r="A5" s="157" t="s">
        <v>1</v>
      </c>
      <c r="B5" s="58" t="s">
        <v>31</v>
      </c>
      <c r="C5" s="66">
        <v>980860</v>
      </c>
      <c r="D5" s="65">
        <v>3.83066</v>
      </c>
      <c r="E5" s="145">
        <v>3757336.97</v>
      </c>
      <c r="F5" s="145">
        <f t="shared" si="0"/>
        <v>676320.65</v>
      </c>
      <c r="G5" s="145">
        <f t="shared" si="1"/>
        <v>4433657.62</v>
      </c>
      <c r="H5" s="166">
        <f t="shared" ref="H5" si="2">G5+G6</f>
        <v>6567339.5800000001</v>
      </c>
      <c r="I5" s="79" t="s">
        <v>127</v>
      </c>
    </row>
    <row r="6" spans="1:10" ht="15.75" thickBot="1">
      <c r="A6" s="158"/>
      <c r="B6" s="61" t="s">
        <v>33</v>
      </c>
      <c r="C6" s="67">
        <v>2219</v>
      </c>
      <c r="D6" s="64">
        <v>814.87383999999997</v>
      </c>
      <c r="E6" s="147">
        <f t="shared" ref="E3:E6" si="3">ROUND(C6*D6,2)</f>
        <v>1808205.05</v>
      </c>
      <c r="F6" s="147">
        <f t="shared" si="0"/>
        <v>325476.90999999997</v>
      </c>
      <c r="G6" s="147">
        <f t="shared" si="1"/>
        <v>2133681.96</v>
      </c>
      <c r="H6" s="167"/>
      <c r="I6" s="79" t="s">
        <v>126</v>
      </c>
    </row>
    <row r="7" spans="1:10">
      <c r="A7" s="157" t="s">
        <v>2</v>
      </c>
      <c r="B7" s="58" t="s">
        <v>31</v>
      </c>
      <c r="C7" s="139">
        <v>1008328</v>
      </c>
      <c r="D7" s="65">
        <v>3.80063</v>
      </c>
      <c r="E7" s="145">
        <v>3832281.3</v>
      </c>
      <c r="F7" s="145">
        <v>689810.65</v>
      </c>
      <c r="G7" s="145">
        <f t="shared" si="1"/>
        <v>4522091.95</v>
      </c>
      <c r="H7" s="166">
        <f t="shared" ref="H7" si="4">G7+G8</f>
        <v>5941850.4900000002</v>
      </c>
      <c r="I7" s="79" t="s">
        <v>124</v>
      </c>
    </row>
    <row r="8" spans="1:10" ht="15.75" thickBot="1">
      <c r="A8" s="158"/>
      <c r="B8" s="61" t="s">
        <v>33</v>
      </c>
      <c r="C8" s="67">
        <v>1924</v>
      </c>
      <c r="D8" s="64">
        <v>625.35613999999998</v>
      </c>
      <c r="E8" s="147">
        <v>1203185.2</v>
      </c>
      <c r="F8" s="147">
        <f t="shared" ref="F8" si="5">ROUND(E8*0.18,2)</f>
        <v>216573.34</v>
      </c>
      <c r="G8" s="147">
        <f t="shared" ref="G8" si="6">ROUND(E8+F8,2)</f>
        <v>1419758.54</v>
      </c>
      <c r="H8" s="167"/>
      <c r="I8" s="79" t="s">
        <v>125</v>
      </c>
      <c r="J8" s="112"/>
    </row>
    <row r="9" spans="1:10">
      <c r="A9" s="157" t="s">
        <v>3</v>
      </c>
      <c r="B9" s="58" t="s">
        <v>31</v>
      </c>
      <c r="C9" s="66"/>
      <c r="D9" s="65"/>
      <c r="E9" s="145">
        <f t="shared" ref="E9:E26" si="7">ROUND(C9*D9,2)</f>
        <v>0</v>
      </c>
      <c r="F9" s="145">
        <f t="shared" ref="F9:F26" si="8">ROUND(E9*0.18,2)</f>
        <v>0</v>
      </c>
      <c r="G9" s="145">
        <f t="shared" ref="G9:G26" si="9">ROUND(E9+F9,2)</f>
        <v>0</v>
      </c>
      <c r="H9" s="166">
        <f t="shared" ref="H9" si="10">G9+G10</f>
        <v>0</v>
      </c>
    </row>
    <row r="10" spans="1:10" ht="15.75" thickBot="1">
      <c r="A10" s="158"/>
      <c r="B10" s="61" t="s">
        <v>33</v>
      </c>
      <c r="C10" s="67"/>
      <c r="D10" s="64"/>
      <c r="E10" s="147">
        <f t="shared" si="7"/>
        <v>0</v>
      </c>
      <c r="F10" s="147">
        <f t="shared" si="8"/>
        <v>0</v>
      </c>
      <c r="G10" s="147">
        <f t="shared" si="9"/>
        <v>0</v>
      </c>
      <c r="H10" s="167"/>
    </row>
    <row r="11" spans="1:10">
      <c r="A11" s="157" t="s">
        <v>4</v>
      </c>
      <c r="B11" s="58" t="s">
        <v>31</v>
      </c>
      <c r="C11" s="66"/>
      <c r="D11" s="65"/>
      <c r="E11" s="145">
        <f t="shared" si="7"/>
        <v>0</v>
      </c>
      <c r="F11" s="145">
        <f t="shared" si="8"/>
        <v>0</v>
      </c>
      <c r="G11" s="145">
        <f t="shared" si="9"/>
        <v>0</v>
      </c>
      <c r="H11" s="166">
        <f t="shared" ref="H11" si="11">G11+G12</f>
        <v>0</v>
      </c>
    </row>
    <row r="12" spans="1:10" ht="15.75" thickBot="1">
      <c r="A12" s="158"/>
      <c r="B12" s="61" t="s">
        <v>33</v>
      </c>
      <c r="C12" s="67"/>
      <c r="D12" s="64"/>
      <c r="E12" s="147">
        <f t="shared" si="7"/>
        <v>0</v>
      </c>
      <c r="F12" s="147">
        <f t="shared" si="8"/>
        <v>0</v>
      </c>
      <c r="G12" s="147">
        <f t="shared" si="9"/>
        <v>0</v>
      </c>
      <c r="H12" s="167"/>
    </row>
    <row r="13" spans="1:10">
      <c r="A13" s="157" t="s">
        <v>5</v>
      </c>
      <c r="B13" s="58" t="s">
        <v>31</v>
      </c>
      <c r="C13" s="66"/>
      <c r="D13" s="80"/>
      <c r="E13" s="145">
        <f t="shared" si="7"/>
        <v>0</v>
      </c>
      <c r="F13" s="145">
        <f t="shared" si="8"/>
        <v>0</v>
      </c>
      <c r="G13" s="145">
        <f t="shared" si="9"/>
        <v>0</v>
      </c>
      <c r="H13" s="166">
        <f t="shared" ref="H13" si="12">G13+G14</f>
        <v>0</v>
      </c>
    </row>
    <row r="14" spans="1:10" ht="15.75" thickBot="1">
      <c r="A14" s="158"/>
      <c r="B14" s="61" t="s">
        <v>33</v>
      </c>
      <c r="C14" s="67"/>
      <c r="D14" s="64"/>
      <c r="E14" s="147">
        <f t="shared" si="7"/>
        <v>0</v>
      </c>
      <c r="F14" s="147">
        <f t="shared" si="8"/>
        <v>0</v>
      </c>
      <c r="G14" s="147">
        <f t="shared" si="9"/>
        <v>0</v>
      </c>
      <c r="H14" s="167"/>
      <c r="J14" s="112"/>
    </row>
    <row r="15" spans="1:10">
      <c r="A15" s="157" t="s">
        <v>6</v>
      </c>
      <c r="B15" s="58" t="s">
        <v>31</v>
      </c>
      <c r="C15" s="66"/>
      <c r="D15" s="65"/>
      <c r="E15" s="145">
        <f t="shared" si="7"/>
        <v>0</v>
      </c>
      <c r="F15" s="145">
        <f t="shared" si="8"/>
        <v>0</v>
      </c>
      <c r="G15" s="145">
        <f t="shared" si="9"/>
        <v>0</v>
      </c>
      <c r="H15" s="166">
        <f t="shared" ref="H15" si="13">G15+G16</f>
        <v>0</v>
      </c>
    </row>
    <row r="16" spans="1:10" ht="15.75" thickBot="1">
      <c r="A16" s="158"/>
      <c r="B16" s="61" t="s">
        <v>33</v>
      </c>
      <c r="C16" s="67"/>
      <c r="D16" s="64"/>
      <c r="E16" s="147">
        <f t="shared" si="7"/>
        <v>0</v>
      </c>
      <c r="F16" s="147">
        <f t="shared" si="8"/>
        <v>0</v>
      </c>
      <c r="G16" s="147">
        <f t="shared" si="9"/>
        <v>0</v>
      </c>
      <c r="H16" s="167"/>
    </row>
    <row r="17" spans="1:10">
      <c r="A17" s="157" t="s">
        <v>7</v>
      </c>
      <c r="B17" s="58" t="s">
        <v>31</v>
      </c>
      <c r="C17" s="66"/>
      <c r="D17" s="65"/>
      <c r="E17" s="145">
        <f t="shared" si="7"/>
        <v>0</v>
      </c>
      <c r="F17" s="145">
        <f t="shared" si="8"/>
        <v>0</v>
      </c>
      <c r="G17" s="145">
        <f t="shared" si="9"/>
        <v>0</v>
      </c>
      <c r="H17" s="166">
        <f t="shared" ref="H17" si="14">G17+G18</f>
        <v>0</v>
      </c>
    </row>
    <row r="18" spans="1:10" ht="15.75" thickBot="1">
      <c r="A18" s="158"/>
      <c r="B18" s="61" t="s">
        <v>33</v>
      </c>
      <c r="C18" s="67"/>
      <c r="D18" s="64"/>
      <c r="E18" s="147">
        <f t="shared" si="7"/>
        <v>0</v>
      </c>
      <c r="F18" s="147">
        <f t="shared" si="8"/>
        <v>0</v>
      </c>
      <c r="G18" s="147">
        <f t="shared" si="9"/>
        <v>0</v>
      </c>
      <c r="H18" s="167"/>
    </row>
    <row r="19" spans="1:10">
      <c r="A19" s="157" t="s">
        <v>8</v>
      </c>
      <c r="B19" s="58" t="s">
        <v>31</v>
      </c>
      <c r="C19" s="154"/>
      <c r="D19" s="65"/>
      <c r="E19" s="145">
        <f t="shared" si="7"/>
        <v>0</v>
      </c>
      <c r="F19" s="145">
        <f t="shared" si="8"/>
        <v>0</v>
      </c>
      <c r="G19" s="145">
        <f t="shared" si="9"/>
        <v>0</v>
      </c>
      <c r="H19" s="166">
        <f t="shared" ref="H19" si="15">G19+G20</f>
        <v>0</v>
      </c>
      <c r="J19" s="114"/>
    </row>
    <row r="20" spans="1:10" ht="15.75" thickBot="1">
      <c r="A20" s="158"/>
      <c r="B20" s="61" t="s">
        <v>33</v>
      </c>
      <c r="C20" s="155"/>
      <c r="D20" s="64"/>
      <c r="E20" s="147">
        <f t="shared" si="7"/>
        <v>0</v>
      </c>
      <c r="F20" s="147">
        <f t="shared" si="8"/>
        <v>0</v>
      </c>
      <c r="G20" s="147">
        <f t="shared" si="9"/>
        <v>0</v>
      </c>
      <c r="H20" s="167"/>
      <c r="J20" s="113"/>
    </row>
    <row r="21" spans="1:10">
      <c r="A21" s="157" t="s">
        <v>9</v>
      </c>
      <c r="B21" s="58" t="s">
        <v>31</v>
      </c>
      <c r="C21" s="154"/>
      <c r="D21" s="65"/>
      <c r="E21" s="145">
        <f t="shared" si="7"/>
        <v>0</v>
      </c>
      <c r="F21" s="145">
        <f t="shared" si="8"/>
        <v>0</v>
      </c>
      <c r="G21" s="145">
        <f t="shared" si="9"/>
        <v>0</v>
      </c>
      <c r="H21" s="166">
        <f t="shared" ref="H21" si="16">G21+G22</f>
        <v>0</v>
      </c>
    </row>
    <row r="22" spans="1:10" ht="15.75" thickBot="1">
      <c r="A22" s="158"/>
      <c r="B22" s="61" t="s">
        <v>33</v>
      </c>
      <c r="C22" s="155"/>
      <c r="D22" s="64"/>
      <c r="E22" s="147">
        <f t="shared" si="7"/>
        <v>0</v>
      </c>
      <c r="F22" s="147">
        <f t="shared" si="8"/>
        <v>0</v>
      </c>
      <c r="G22" s="147">
        <f t="shared" si="9"/>
        <v>0</v>
      </c>
      <c r="H22" s="167"/>
    </row>
    <row r="23" spans="1:10">
      <c r="A23" s="157" t="s">
        <v>10</v>
      </c>
      <c r="B23" s="58" t="s">
        <v>31</v>
      </c>
      <c r="C23" s="154"/>
      <c r="D23" s="65"/>
      <c r="E23" s="145">
        <f t="shared" si="7"/>
        <v>0</v>
      </c>
      <c r="F23" s="145">
        <f t="shared" si="8"/>
        <v>0</v>
      </c>
      <c r="G23" s="145">
        <f t="shared" si="9"/>
        <v>0</v>
      </c>
      <c r="H23" s="166">
        <f>G23+G24</f>
        <v>0</v>
      </c>
    </row>
    <row r="24" spans="1:10" ht="15.75" thickBot="1">
      <c r="A24" s="158"/>
      <c r="B24" s="61" t="s">
        <v>33</v>
      </c>
      <c r="C24" s="155"/>
      <c r="D24" s="64"/>
      <c r="E24" s="147">
        <f t="shared" si="7"/>
        <v>0</v>
      </c>
      <c r="F24" s="147">
        <f t="shared" si="8"/>
        <v>0</v>
      </c>
      <c r="G24" s="147">
        <f t="shared" si="9"/>
        <v>0</v>
      </c>
      <c r="H24" s="167"/>
    </row>
    <row r="25" spans="1:10">
      <c r="A25" s="157" t="s">
        <v>11</v>
      </c>
      <c r="B25" s="58" t="s">
        <v>31</v>
      </c>
      <c r="C25" s="154"/>
      <c r="D25" s="65"/>
      <c r="E25" s="145">
        <f t="shared" si="7"/>
        <v>0</v>
      </c>
      <c r="F25" s="145">
        <f t="shared" si="8"/>
        <v>0</v>
      </c>
      <c r="G25" s="145">
        <f t="shared" si="9"/>
        <v>0</v>
      </c>
      <c r="H25" s="166">
        <f t="shared" ref="H25" si="17">G25+G26</f>
        <v>0</v>
      </c>
    </row>
    <row r="26" spans="1:10" ht="15.75" thickBot="1">
      <c r="A26" s="158"/>
      <c r="B26" s="61" t="s">
        <v>33</v>
      </c>
      <c r="C26" s="155"/>
      <c r="D26" s="64"/>
      <c r="E26" s="147">
        <f t="shared" si="7"/>
        <v>0</v>
      </c>
      <c r="F26" s="147">
        <f t="shared" si="8"/>
        <v>0</v>
      </c>
      <c r="G26" s="147">
        <f t="shared" si="9"/>
        <v>0</v>
      </c>
      <c r="H26" s="167"/>
      <c r="J26" s="113"/>
    </row>
    <row r="27" spans="1:10">
      <c r="E27" s="81">
        <f>SUM(E3:E26)</f>
        <v>16074945.469999999</v>
      </c>
      <c r="F27" s="115">
        <f t="shared" ref="F27" si="18">ROUND(E27*0.18,2)</f>
        <v>2893490.18</v>
      </c>
      <c r="G27" s="115">
        <f>ROUND(E27+F27,2)</f>
        <v>18968435.649999999</v>
      </c>
    </row>
    <row r="29" spans="1:10">
      <c r="F29" s="156"/>
    </row>
    <row r="31" spans="1:10" ht="15.75">
      <c r="G31" s="152"/>
    </row>
  </sheetData>
  <mergeCells count="25">
    <mergeCell ref="A7:A8"/>
    <mergeCell ref="H7:H8"/>
    <mergeCell ref="A1:H1"/>
    <mergeCell ref="A3:A4"/>
    <mergeCell ref="H3:H4"/>
    <mergeCell ref="A5:A6"/>
    <mergeCell ref="H5:H6"/>
    <mergeCell ref="A9:A10"/>
    <mergeCell ref="H9:H10"/>
    <mergeCell ref="A11:A12"/>
    <mergeCell ref="H11:H12"/>
    <mergeCell ref="A13:A14"/>
    <mergeCell ref="H13:H14"/>
    <mergeCell ref="A15:A16"/>
    <mergeCell ref="H15:H16"/>
    <mergeCell ref="A17:A18"/>
    <mergeCell ref="H17:H18"/>
    <mergeCell ref="A19:A20"/>
    <mergeCell ref="H19:H20"/>
    <mergeCell ref="A21:A22"/>
    <mergeCell ref="H21:H22"/>
    <mergeCell ref="A23:A24"/>
    <mergeCell ref="H23:H24"/>
    <mergeCell ref="A25:A26"/>
    <mergeCell ref="H25:H26"/>
  </mergeCells>
  <pageMargins left="0.7" right="0.7" top="0.75" bottom="0.75" header="0.3" footer="0.3"/>
  <pageSetup paperSize="9" orientation="portrait" verticalDpi="0" r:id="rId1"/>
  <ignoredErrors>
    <ignoredError sqref="F3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K330"/>
  <sheetViews>
    <sheetView workbookViewId="0">
      <selection activeCell="F13" sqref="F13"/>
    </sheetView>
  </sheetViews>
  <sheetFormatPr defaultRowHeight="15"/>
  <cols>
    <col min="1" max="1" width="10.7109375" customWidth="1"/>
    <col min="2" max="2" width="21.42578125" customWidth="1"/>
    <col min="3" max="4" width="12.5703125" customWidth="1"/>
    <col min="5" max="7" width="14" customWidth="1"/>
    <col min="8" max="8" width="8.85546875" customWidth="1"/>
    <col min="9" max="9" width="11.7109375" customWidth="1"/>
    <col min="10" max="10" width="5.85546875" customWidth="1"/>
    <col min="11" max="11" width="13.7109375" customWidth="1"/>
  </cols>
  <sheetData>
    <row r="1" spans="1:11" s="95" customFormat="1" ht="32.25" thickBot="1">
      <c r="A1" s="168" t="s">
        <v>122</v>
      </c>
      <c r="B1" s="168"/>
      <c r="C1" s="168"/>
      <c r="D1" s="168"/>
      <c r="E1" s="168"/>
      <c r="F1" s="168"/>
      <c r="G1" s="168"/>
    </row>
    <row r="2" spans="1:11" ht="15.75" thickBot="1">
      <c r="A2" s="53"/>
      <c r="B2" s="54"/>
      <c r="C2" s="55" t="s">
        <v>32</v>
      </c>
      <c r="D2" s="55" t="s">
        <v>25</v>
      </c>
      <c r="E2" s="55" t="s">
        <v>26</v>
      </c>
      <c r="F2" s="55" t="s">
        <v>27</v>
      </c>
      <c r="G2" s="56" t="s">
        <v>28</v>
      </c>
      <c r="H2" s="88"/>
      <c r="I2" s="74"/>
      <c r="K2" s="74"/>
    </row>
    <row r="3" spans="1:11">
      <c r="A3" s="160" t="s">
        <v>123</v>
      </c>
      <c r="B3" s="58" t="s">
        <v>31</v>
      </c>
      <c r="C3" s="139">
        <v>211370</v>
      </c>
      <c r="D3" s="65">
        <v>3.7498100000000001</v>
      </c>
      <c r="E3" s="145">
        <f>ROUND(C3*D3,2)</f>
        <v>792597.34</v>
      </c>
      <c r="F3" s="145">
        <f>ROUND(E3*0.18,2)</f>
        <v>142667.51999999999</v>
      </c>
      <c r="G3" s="145">
        <f>ROUND(E3+F3,2)</f>
        <v>935264.86</v>
      </c>
      <c r="I3" s="81"/>
    </row>
    <row r="4" spans="1:11" ht="15.75" thickBot="1">
      <c r="A4" s="161"/>
      <c r="B4" s="98" t="s">
        <v>31</v>
      </c>
      <c r="C4" s="140">
        <v>113832</v>
      </c>
      <c r="D4" s="100">
        <v>3.7502200000000001</v>
      </c>
      <c r="E4" s="146">
        <f>ROUND(C4*D4,2)</f>
        <v>426895.04</v>
      </c>
      <c r="F4" s="146">
        <f t="shared" ref="F4:F11" si="0">ROUND(E4*0.18,2)</f>
        <v>76841.11</v>
      </c>
      <c r="G4" s="146">
        <f>ROUND(E4+F4,2)</f>
        <v>503736.15</v>
      </c>
      <c r="I4" s="81"/>
    </row>
    <row r="5" spans="1:11">
      <c r="B5" s="98" t="s">
        <v>31</v>
      </c>
      <c r="C5" s="140">
        <v>130508</v>
      </c>
      <c r="D5" s="100">
        <v>3.7559100000000001</v>
      </c>
      <c r="E5" s="146">
        <f>ROUND(C5*D5,2)</f>
        <v>490176.3</v>
      </c>
      <c r="F5" s="146">
        <f t="shared" si="0"/>
        <v>88231.73</v>
      </c>
      <c r="G5" s="146">
        <f t="shared" ref="G5:G11" si="1">ROUND(E5+F5,2)</f>
        <v>578408.03</v>
      </c>
      <c r="I5" s="81"/>
    </row>
    <row r="6" spans="1:11">
      <c r="B6" s="98" t="s">
        <v>31</v>
      </c>
      <c r="C6" s="140">
        <v>108537</v>
      </c>
      <c r="D6" s="100">
        <v>3.7668300000000001</v>
      </c>
      <c r="E6" s="146">
        <f t="shared" ref="E6:E9" si="2">ROUND(C6*D6,2)</f>
        <v>408840.43</v>
      </c>
      <c r="F6" s="146">
        <f t="shared" si="0"/>
        <v>73591.28</v>
      </c>
      <c r="G6" s="146">
        <f t="shared" si="1"/>
        <v>482431.71</v>
      </c>
      <c r="I6" s="81"/>
    </row>
    <row r="7" spans="1:11">
      <c r="B7" s="98" t="s">
        <v>31</v>
      </c>
      <c r="C7" s="140">
        <v>120408</v>
      </c>
      <c r="D7" s="100">
        <v>3.7807599999999999</v>
      </c>
      <c r="E7" s="146">
        <f t="shared" si="2"/>
        <v>455233.75</v>
      </c>
      <c r="F7" s="146">
        <f t="shared" si="0"/>
        <v>81942.080000000002</v>
      </c>
      <c r="G7" s="146">
        <f t="shared" si="1"/>
        <v>537175.82999999996</v>
      </c>
      <c r="I7" s="81"/>
    </row>
    <row r="8" spans="1:11">
      <c r="B8" s="98" t="s">
        <v>31</v>
      </c>
      <c r="C8" s="140">
        <v>14715</v>
      </c>
      <c r="D8" s="100">
        <v>3.8141500000000002</v>
      </c>
      <c r="E8" s="146">
        <f t="shared" si="2"/>
        <v>56125.22</v>
      </c>
      <c r="F8" s="146">
        <f t="shared" si="0"/>
        <v>10102.540000000001</v>
      </c>
      <c r="G8" s="146">
        <f t="shared" si="1"/>
        <v>66227.759999999995</v>
      </c>
      <c r="I8" s="81"/>
    </row>
    <row r="9" spans="1:11">
      <c r="B9" s="98" t="s">
        <v>31</v>
      </c>
      <c r="C9" s="140">
        <v>38110</v>
      </c>
      <c r="D9" s="100">
        <v>3.8626</v>
      </c>
      <c r="E9" s="146">
        <f t="shared" si="2"/>
        <v>147203.69</v>
      </c>
      <c r="F9" s="146">
        <f t="shared" si="0"/>
        <v>26496.66</v>
      </c>
      <c r="G9" s="146">
        <f t="shared" si="1"/>
        <v>173700.35</v>
      </c>
      <c r="I9" s="81"/>
    </row>
    <row r="10" spans="1:11">
      <c r="B10" s="98" t="s">
        <v>31</v>
      </c>
      <c r="C10" s="140">
        <v>141672</v>
      </c>
      <c r="D10" s="100">
        <v>3.8890799999999999</v>
      </c>
      <c r="E10" s="146">
        <f>ROUND(C10*D10,2)</f>
        <v>550973.74</v>
      </c>
      <c r="F10" s="146">
        <f t="shared" si="0"/>
        <v>99175.27</v>
      </c>
      <c r="G10" s="146">
        <f t="shared" si="1"/>
        <v>650149.01</v>
      </c>
      <c r="I10" s="81"/>
    </row>
    <row r="11" spans="1:11" ht="15.75" thickBot="1">
      <c r="B11" s="61" t="s">
        <v>31</v>
      </c>
      <c r="C11" s="141">
        <v>129176</v>
      </c>
      <c r="D11" s="64">
        <v>3.9034800000000001</v>
      </c>
      <c r="E11" s="147">
        <f>ROUND(C11*D11,2)</f>
        <v>504235.93</v>
      </c>
      <c r="F11" s="147">
        <f t="shared" si="0"/>
        <v>90762.47</v>
      </c>
      <c r="G11" s="147">
        <f t="shared" si="1"/>
        <v>594998.4</v>
      </c>
      <c r="I11" s="81"/>
    </row>
    <row r="12" spans="1:11">
      <c r="B12" t="s">
        <v>58</v>
      </c>
      <c r="C12" s="142">
        <f>SUM(C3:C11)</f>
        <v>1008328</v>
      </c>
      <c r="D12" s="86">
        <f>E12/C12</f>
        <v>3.8006297950666847</v>
      </c>
      <c r="E12" s="148">
        <f>SUM(E3:E11)</f>
        <v>3832281.44</v>
      </c>
      <c r="F12" s="148">
        <f>ROUND(E12*0.18,2)</f>
        <v>689810.66</v>
      </c>
      <c r="G12" s="148">
        <f>ROUND(E12+F12,2)</f>
        <v>4522092.0999999996</v>
      </c>
      <c r="I12" s="81"/>
    </row>
    <row r="13" spans="1:11" ht="15.75" thickBot="1">
      <c r="B13" t="s">
        <v>59</v>
      </c>
      <c r="C13" s="143">
        <v>1008328</v>
      </c>
      <c r="D13" s="83">
        <v>3.80063</v>
      </c>
      <c r="E13" s="149">
        <f>ROUND(C13*D13,2)-0.35</f>
        <v>3832281.3</v>
      </c>
      <c r="F13" s="149">
        <f>906383.99-F14</f>
        <v>689810.65</v>
      </c>
      <c r="G13" s="149">
        <f>E13+F13</f>
        <v>4522091.95</v>
      </c>
      <c r="I13" s="81"/>
    </row>
    <row r="14" spans="1:11" ht="15.75" thickBot="1">
      <c r="B14" s="102" t="s">
        <v>33</v>
      </c>
      <c r="C14" s="144">
        <v>1924</v>
      </c>
      <c r="D14" s="104">
        <v>625.35613999999998</v>
      </c>
      <c r="E14" s="150">
        <f>ROUND(C14*D14,2)-0.01</f>
        <v>1203185.2</v>
      </c>
      <c r="F14" s="151">
        <f t="shared" ref="F14" si="3">ROUND(E14*0.18,2)</f>
        <v>216573.34</v>
      </c>
      <c r="G14" s="151">
        <f t="shared" ref="G14" si="4">ROUND(E14+F14,2)</f>
        <v>1419758.54</v>
      </c>
      <c r="I14" s="81"/>
    </row>
    <row r="16" spans="1:11">
      <c r="D16" t="s">
        <v>58</v>
      </c>
      <c r="E16" s="89">
        <f>E12/C12</f>
        <v>3.8006297950666847</v>
      </c>
    </row>
    <row r="17" spans="1:11">
      <c r="D17" t="s">
        <v>59</v>
      </c>
      <c r="E17" s="89">
        <f>E13/C13</f>
        <v>3.8006296562229749</v>
      </c>
    </row>
    <row r="18" spans="1:11" s="95" customFormat="1" ht="32.25" thickBot="1">
      <c r="A18" s="168" t="s">
        <v>116</v>
      </c>
      <c r="B18" s="168"/>
      <c r="C18" s="168"/>
      <c r="D18" s="168"/>
      <c r="E18" s="168"/>
      <c r="F18" s="168"/>
      <c r="G18" s="168"/>
    </row>
    <row r="19" spans="1:11" ht="15.75" thickBot="1">
      <c r="A19" s="53"/>
      <c r="B19" s="54"/>
      <c r="C19" s="55" t="s">
        <v>32</v>
      </c>
      <c r="D19" s="55" t="s">
        <v>25</v>
      </c>
      <c r="E19" s="55" t="s">
        <v>26</v>
      </c>
      <c r="F19" s="55" t="s">
        <v>27</v>
      </c>
      <c r="G19" s="56" t="s">
        <v>28</v>
      </c>
      <c r="H19" s="88"/>
      <c r="I19" s="74"/>
      <c r="K19" s="74"/>
    </row>
    <row r="20" spans="1:11">
      <c r="A20" s="160" t="s">
        <v>117</v>
      </c>
      <c r="B20" s="58" t="s">
        <v>31</v>
      </c>
      <c r="C20" s="139">
        <v>32835</v>
      </c>
      <c r="D20" s="65">
        <v>3.9369499999999999</v>
      </c>
      <c r="E20" s="145">
        <f>ROUND(C20*D20,2)</f>
        <v>129269.75</v>
      </c>
      <c r="F20" s="145">
        <f>ROUND(E20*0.18,2)</f>
        <v>23268.560000000001</v>
      </c>
      <c r="G20" s="145">
        <f>ROUND(E20+F20,2)</f>
        <v>152538.31</v>
      </c>
      <c r="I20" s="81"/>
    </row>
    <row r="21" spans="1:11" ht="15.75" thickBot="1">
      <c r="A21" s="161"/>
      <c r="B21" s="98" t="s">
        <v>31</v>
      </c>
      <c r="C21" s="140">
        <v>225515</v>
      </c>
      <c r="D21" s="100">
        <v>3.9512700000000001</v>
      </c>
      <c r="E21" s="146">
        <f>ROUND(C21*D21,2)</f>
        <v>891070.65</v>
      </c>
      <c r="F21" s="146">
        <f t="shared" ref="F21:F28" si="5">ROUND(E21*0.18,2)</f>
        <v>160392.72</v>
      </c>
      <c r="G21" s="146">
        <f>ROUND(E21+F21,2)</f>
        <v>1051463.3700000001</v>
      </c>
      <c r="I21" s="81"/>
    </row>
    <row r="22" spans="1:11">
      <c r="B22" s="98" t="s">
        <v>31</v>
      </c>
      <c r="C22" s="140">
        <v>112460</v>
      </c>
      <c r="D22" s="100">
        <v>3.97065</v>
      </c>
      <c r="E22" s="146">
        <f>ROUND(C22*D22,2)</f>
        <v>446539.3</v>
      </c>
      <c r="F22" s="146">
        <f t="shared" si="5"/>
        <v>80377.070000000007</v>
      </c>
      <c r="G22" s="146">
        <f t="shared" ref="G22:G28" si="6">ROUND(E22+F22,2)</f>
        <v>526916.37</v>
      </c>
      <c r="I22" s="81"/>
    </row>
    <row r="23" spans="1:11">
      <c r="B23" s="98" t="s">
        <v>31</v>
      </c>
      <c r="C23" s="140">
        <v>160328</v>
      </c>
      <c r="D23" s="100">
        <v>3.9936600000000002</v>
      </c>
      <c r="E23" s="146">
        <f t="shared" ref="E23:E26" si="7">ROUND(C23*D23,2)</f>
        <v>640295.52</v>
      </c>
      <c r="F23" s="146">
        <f t="shared" si="5"/>
        <v>115253.19</v>
      </c>
      <c r="G23" s="146">
        <f t="shared" si="6"/>
        <v>755548.71</v>
      </c>
      <c r="I23" s="81"/>
    </row>
    <row r="24" spans="1:11">
      <c r="B24" s="98" t="s">
        <v>31</v>
      </c>
      <c r="C24" s="140">
        <v>168435</v>
      </c>
      <c r="D24" s="100">
        <v>4.0074800000000002</v>
      </c>
      <c r="E24" s="146">
        <f t="shared" si="7"/>
        <v>674999.89</v>
      </c>
      <c r="F24" s="146">
        <f t="shared" si="5"/>
        <v>121499.98</v>
      </c>
      <c r="G24" s="146">
        <f t="shared" si="6"/>
        <v>796499.87</v>
      </c>
      <c r="I24" s="81"/>
    </row>
    <row r="25" spans="1:11">
      <c r="B25" s="98" t="s">
        <v>31</v>
      </c>
      <c r="C25" s="140">
        <v>112311</v>
      </c>
      <c r="D25" s="100">
        <v>4.0149400000000002</v>
      </c>
      <c r="E25" s="146">
        <f t="shared" si="7"/>
        <v>450921.93</v>
      </c>
      <c r="F25" s="146">
        <f t="shared" si="5"/>
        <v>81165.95</v>
      </c>
      <c r="G25" s="146">
        <f t="shared" si="6"/>
        <v>532087.88</v>
      </c>
      <c r="I25" s="81"/>
    </row>
    <row r="26" spans="1:11">
      <c r="B26" s="98" t="s">
        <v>31</v>
      </c>
      <c r="C26" s="140">
        <v>14502</v>
      </c>
      <c r="D26" s="100">
        <v>4.0360300000000002</v>
      </c>
      <c r="E26" s="146">
        <f t="shared" si="7"/>
        <v>58530.51</v>
      </c>
      <c r="F26" s="146">
        <f t="shared" si="5"/>
        <v>10535.49</v>
      </c>
      <c r="G26" s="146">
        <f t="shared" si="6"/>
        <v>69066</v>
      </c>
      <c r="I26" s="81"/>
    </row>
    <row r="27" spans="1:11">
      <c r="B27" s="98" t="s">
        <v>31</v>
      </c>
      <c r="C27" s="140">
        <v>96507</v>
      </c>
      <c r="D27" s="100">
        <v>4.16106</v>
      </c>
      <c r="E27" s="146">
        <f>ROUND(C27*D27,2)</f>
        <v>401571.42</v>
      </c>
      <c r="F27" s="146">
        <f t="shared" si="5"/>
        <v>72282.86</v>
      </c>
      <c r="G27" s="146">
        <f t="shared" si="6"/>
        <v>473854.28</v>
      </c>
      <c r="I27" s="81"/>
    </row>
    <row r="28" spans="1:11" ht="15.75" thickBot="1">
      <c r="B28" s="61" t="s">
        <v>31</v>
      </c>
      <c r="C28" s="141">
        <v>121115</v>
      </c>
      <c r="D28" s="64">
        <v>4.1625300000000003</v>
      </c>
      <c r="E28" s="147">
        <f>ROUND(C28*D28,2)</f>
        <v>504144.82</v>
      </c>
      <c r="F28" s="147">
        <f t="shared" si="5"/>
        <v>90746.07</v>
      </c>
      <c r="G28" s="147">
        <f t="shared" si="6"/>
        <v>594890.89</v>
      </c>
      <c r="I28" s="81"/>
    </row>
    <row r="29" spans="1:11">
      <c r="B29" t="s">
        <v>58</v>
      </c>
      <c r="C29" s="142">
        <f>SUM(C20:C28)</f>
        <v>1044008</v>
      </c>
      <c r="D29" s="86">
        <f>E29/C29</f>
        <v>4.02041343552923</v>
      </c>
      <c r="E29" s="148">
        <f>SUM(E20:E28)</f>
        <v>4197343.79</v>
      </c>
      <c r="F29" s="148">
        <f>ROUND(E29*0.18,2)</f>
        <v>755521.88</v>
      </c>
      <c r="G29" s="148">
        <f>ROUND(E29+F29,2)</f>
        <v>4952865.67</v>
      </c>
      <c r="I29" s="81"/>
    </row>
    <row r="30" spans="1:11" ht="15.75" thickBot="1">
      <c r="B30" t="s">
        <v>59</v>
      </c>
      <c r="C30" s="143">
        <v>1044008</v>
      </c>
      <c r="D30" s="83">
        <v>4.02041</v>
      </c>
      <c r="E30" s="149">
        <f>ROUND(C30*D30,2)+2.33</f>
        <v>4197342.53</v>
      </c>
      <c r="F30" s="149">
        <f>981320.47-F31</f>
        <v>755521.65999999992</v>
      </c>
      <c r="G30" s="149">
        <f>E30+F30</f>
        <v>4952864.1900000004</v>
      </c>
      <c r="I30" s="81"/>
    </row>
    <row r="31" spans="1:11" ht="15.75" thickBot="1">
      <c r="B31" s="102" t="s">
        <v>33</v>
      </c>
      <c r="C31" s="144">
        <v>2138</v>
      </c>
      <c r="D31" s="104">
        <v>586.73425999999995</v>
      </c>
      <c r="E31" s="150">
        <f t="shared" ref="E31" si="8">ROUND(C31*D31,2)</f>
        <v>1254437.8500000001</v>
      </c>
      <c r="F31" s="151">
        <f t="shared" ref="F31" si="9">ROUND(E31*0.18,2)</f>
        <v>225798.81</v>
      </c>
      <c r="G31" s="151">
        <f t="shared" ref="G31" si="10">ROUND(E31+F31,2)</f>
        <v>1480236.66</v>
      </c>
      <c r="I31" s="81"/>
    </row>
    <row r="33" spans="1:11">
      <c r="D33" t="s">
        <v>58</v>
      </c>
      <c r="E33" s="89">
        <f>E29/C29</f>
        <v>4.02041343552923</v>
      </c>
    </row>
    <row r="34" spans="1:11">
      <c r="D34" t="s">
        <v>59</v>
      </c>
      <c r="E34" s="89">
        <f>E30/C30</f>
        <v>4.0204122286419262</v>
      </c>
    </row>
    <row r="35" spans="1:11" s="95" customFormat="1" ht="32.25" thickBot="1">
      <c r="A35" s="168" t="s">
        <v>113</v>
      </c>
      <c r="B35" s="168"/>
      <c r="C35" s="168"/>
      <c r="D35" s="168"/>
      <c r="E35" s="168"/>
      <c r="F35" s="168"/>
      <c r="G35" s="168"/>
    </row>
    <row r="36" spans="1:11" ht="15.75" thickBot="1">
      <c r="A36" s="53"/>
      <c r="B36" s="54"/>
      <c r="C36" s="55" t="s">
        <v>32</v>
      </c>
      <c r="D36" s="55" t="s">
        <v>25</v>
      </c>
      <c r="E36" s="55" t="s">
        <v>26</v>
      </c>
      <c r="F36" s="55" t="s">
        <v>27</v>
      </c>
      <c r="G36" s="56" t="s">
        <v>28</v>
      </c>
      <c r="H36" s="88"/>
      <c r="I36" s="74"/>
      <c r="K36" s="74"/>
    </row>
    <row r="37" spans="1:11">
      <c r="A37" s="160" t="s">
        <v>112</v>
      </c>
      <c r="B37" s="58" t="s">
        <v>31</v>
      </c>
      <c r="C37" s="139">
        <v>137288</v>
      </c>
      <c r="D37" s="65">
        <v>3.8854600000000001</v>
      </c>
      <c r="E37" s="145">
        <f>ROUND(C37*D37,2)</f>
        <v>533427.03</v>
      </c>
      <c r="F37" s="145">
        <f>ROUND(E37*0.18,2)</f>
        <v>96016.87</v>
      </c>
      <c r="G37" s="145">
        <f>ROUND(E37+F37,2)</f>
        <v>629443.9</v>
      </c>
      <c r="I37" s="81"/>
    </row>
    <row r="38" spans="1:11" ht="15.75" thickBot="1">
      <c r="A38" s="161"/>
      <c r="B38" s="98" t="s">
        <v>31</v>
      </c>
      <c r="C38" s="140">
        <v>117534</v>
      </c>
      <c r="D38" s="100">
        <v>3.9083999999999999</v>
      </c>
      <c r="E38" s="146">
        <f>ROUND(C38*D38,2)</f>
        <v>459369.89</v>
      </c>
      <c r="F38" s="146">
        <f t="shared" ref="F38:F45" si="11">ROUND(E38*0.18,2)</f>
        <v>82686.58</v>
      </c>
      <c r="G38" s="146">
        <f>ROUND(E38+F38,2)</f>
        <v>542056.47</v>
      </c>
      <c r="I38" s="81"/>
    </row>
    <row r="39" spans="1:11">
      <c r="B39" s="98" t="s">
        <v>31</v>
      </c>
      <c r="C39" s="140">
        <v>184968</v>
      </c>
      <c r="D39" s="100">
        <v>3.9171399999999998</v>
      </c>
      <c r="E39" s="146">
        <f>ROUND(C39*D39,2)</f>
        <v>724545.55</v>
      </c>
      <c r="F39" s="146">
        <f t="shared" si="11"/>
        <v>130418.2</v>
      </c>
      <c r="G39" s="146">
        <f t="shared" ref="G39:G45" si="12">ROUND(E39+F39,2)</f>
        <v>854963.75</v>
      </c>
      <c r="I39" s="81"/>
    </row>
    <row r="40" spans="1:11">
      <c r="B40" s="98" t="s">
        <v>31</v>
      </c>
      <c r="C40" s="140">
        <v>100989</v>
      </c>
      <c r="D40" s="100">
        <v>3.9585499999999998</v>
      </c>
      <c r="E40" s="146">
        <f t="shared" ref="E40:E43" si="13">ROUND(C40*D40,2)</f>
        <v>399770.01</v>
      </c>
      <c r="F40" s="146">
        <f t="shared" si="11"/>
        <v>71958.600000000006</v>
      </c>
      <c r="G40" s="146">
        <f t="shared" si="12"/>
        <v>471728.61</v>
      </c>
      <c r="I40" s="81"/>
    </row>
    <row r="41" spans="1:11">
      <c r="B41" s="98" t="s">
        <v>31</v>
      </c>
      <c r="C41" s="140">
        <v>77080</v>
      </c>
      <c r="D41" s="100">
        <v>3.98292</v>
      </c>
      <c r="E41" s="146">
        <f t="shared" si="13"/>
        <v>307003.46999999997</v>
      </c>
      <c r="F41" s="146">
        <f t="shared" si="11"/>
        <v>55260.62</v>
      </c>
      <c r="G41" s="146">
        <f t="shared" si="12"/>
        <v>362264.09</v>
      </c>
      <c r="I41" s="81"/>
    </row>
    <row r="42" spans="1:11">
      <c r="B42" s="98" t="s">
        <v>31</v>
      </c>
      <c r="C42" s="140">
        <v>14160</v>
      </c>
      <c r="D42" s="100">
        <v>4.0596199999999998</v>
      </c>
      <c r="E42" s="146">
        <f t="shared" si="13"/>
        <v>57484.22</v>
      </c>
      <c r="F42" s="146">
        <f t="shared" si="11"/>
        <v>10347.16</v>
      </c>
      <c r="G42" s="146">
        <f t="shared" si="12"/>
        <v>67831.38</v>
      </c>
      <c r="I42" s="81"/>
    </row>
    <row r="43" spans="1:11">
      <c r="B43" s="98" t="s">
        <v>31</v>
      </c>
      <c r="C43" s="140">
        <v>42329</v>
      </c>
      <c r="D43" s="100">
        <v>4.0601000000000003</v>
      </c>
      <c r="E43" s="146">
        <f t="shared" si="13"/>
        <v>171859.97</v>
      </c>
      <c r="F43" s="146">
        <f t="shared" si="11"/>
        <v>30934.79</v>
      </c>
      <c r="G43" s="146">
        <f t="shared" si="12"/>
        <v>202794.76</v>
      </c>
      <c r="I43" s="81"/>
    </row>
    <row r="44" spans="1:11">
      <c r="B44" s="98" t="s">
        <v>31</v>
      </c>
      <c r="C44" s="140">
        <v>62301</v>
      </c>
      <c r="D44" s="100">
        <v>4.0613099999999998</v>
      </c>
      <c r="E44" s="146">
        <f>ROUND(C44*D44,2)</f>
        <v>253023.67</v>
      </c>
      <c r="F44" s="146">
        <f t="shared" si="11"/>
        <v>45544.26</v>
      </c>
      <c r="G44" s="146">
        <f t="shared" si="12"/>
        <v>298567.93</v>
      </c>
      <c r="I44" s="81"/>
    </row>
    <row r="45" spans="1:11" ht="15.75" thickBot="1">
      <c r="B45" s="61" t="s">
        <v>31</v>
      </c>
      <c r="C45" s="141">
        <v>104883</v>
      </c>
      <c r="D45" s="64">
        <v>4.1053100000000002</v>
      </c>
      <c r="E45" s="147">
        <f>ROUND(C45*D45,2)</f>
        <v>430577.23</v>
      </c>
      <c r="F45" s="147">
        <f t="shared" si="11"/>
        <v>77503.899999999994</v>
      </c>
      <c r="G45" s="147">
        <f t="shared" si="12"/>
        <v>508081.13</v>
      </c>
      <c r="I45" s="81"/>
    </row>
    <row r="46" spans="1:11">
      <c r="B46" t="s">
        <v>58</v>
      </c>
      <c r="C46" s="142">
        <f>SUM(C37:C45)</f>
        <v>841532</v>
      </c>
      <c r="D46" s="86">
        <f>E46/C46</f>
        <v>3.9654594715352482</v>
      </c>
      <c r="E46" s="148">
        <f>SUM(E37:E45)</f>
        <v>3337061.0400000005</v>
      </c>
      <c r="F46" s="148">
        <f>ROUND(E46*0.18,2)</f>
        <v>600670.99</v>
      </c>
      <c r="G46" s="148">
        <f>ROUND(E46+F46,2)</f>
        <v>3937732.03</v>
      </c>
      <c r="I46" s="81"/>
    </row>
    <row r="47" spans="1:11" ht="15.75" thickBot="1">
      <c r="B47" t="s">
        <v>59</v>
      </c>
      <c r="C47" s="143">
        <v>841532</v>
      </c>
      <c r="D47" s="83">
        <v>3.9654600000000002</v>
      </c>
      <c r="E47" s="149">
        <v>3337061.83</v>
      </c>
      <c r="F47" s="149">
        <f>768277.38-F48</f>
        <v>600671.12</v>
      </c>
      <c r="G47" s="149">
        <f>E47+F47</f>
        <v>3937732.95</v>
      </c>
      <c r="I47" s="81"/>
    </row>
    <row r="48" spans="1:11" ht="15.75" thickBot="1">
      <c r="B48" s="102" t="s">
        <v>33</v>
      </c>
      <c r="C48" s="144">
        <v>1603</v>
      </c>
      <c r="D48" s="104">
        <v>580.87705000000005</v>
      </c>
      <c r="E48" s="150">
        <f t="shared" ref="E48" si="14">ROUND(C48*D48,2)</f>
        <v>931145.91</v>
      </c>
      <c r="F48" s="151">
        <f t="shared" ref="F48" si="15">ROUND(E48*0.18,2)</f>
        <v>167606.26</v>
      </c>
      <c r="G48" s="151">
        <f t="shared" ref="G48" si="16">ROUND(E48+F48,2)</f>
        <v>1098752.17</v>
      </c>
      <c r="I48" s="81"/>
    </row>
    <row r="50" spans="1:11">
      <c r="D50" t="s">
        <v>58</v>
      </c>
      <c r="E50" s="89">
        <f>E46/C46</f>
        <v>3.9654594715352482</v>
      </c>
    </row>
    <row r="51" spans="1:11">
      <c r="D51" t="s">
        <v>59</v>
      </c>
      <c r="E51" s="89">
        <f>E47/C47</f>
        <v>3.9654604102993112</v>
      </c>
    </row>
    <row r="52" spans="1:11" s="95" customFormat="1" ht="32.25" thickBot="1">
      <c r="A52" s="168" t="s">
        <v>108</v>
      </c>
      <c r="B52" s="168"/>
      <c r="C52" s="168"/>
      <c r="D52" s="168"/>
      <c r="E52" s="168"/>
      <c r="F52" s="168"/>
      <c r="G52" s="168"/>
    </row>
    <row r="53" spans="1:11" ht="15.75" thickBot="1">
      <c r="A53" s="53"/>
      <c r="B53" s="54"/>
      <c r="C53" s="55" t="s">
        <v>32</v>
      </c>
      <c r="D53" s="55" t="s">
        <v>25</v>
      </c>
      <c r="E53" s="55" t="s">
        <v>26</v>
      </c>
      <c r="F53" s="55" t="s">
        <v>27</v>
      </c>
      <c r="G53" s="56" t="s">
        <v>28</v>
      </c>
      <c r="H53" s="88"/>
      <c r="I53" s="74"/>
      <c r="K53" s="74"/>
    </row>
    <row r="54" spans="1:11">
      <c r="A54" s="160" t="s">
        <v>111</v>
      </c>
      <c r="B54" s="58" t="s">
        <v>31</v>
      </c>
      <c r="C54" s="139">
        <v>102510</v>
      </c>
      <c r="D54" s="65">
        <v>3.8628999999999998</v>
      </c>
      <c r="E54" s="145">
        <f>ROUND(C54*D54,2)</f>
        <v>395985.88</v>
      </c>
      <c r="F54" s="145">
        <f>ROUND(E54*0.18,2)</f>
        <v>71277.460000000006</v>
      </c>
      <c r="G54" s="145">
        <f>ROUND(E54+F54,2)</f>
        <v>467263.34</v>
      </c>
      <c r="I54" s="81"/>
    </row>
    <row r="55" spans="1:11" ht="15.75" thickBot="1">
      <c r="A55" s="161"/>
      <c r="B55" s="98" t="s">
        <v>31</v>
      </c>
      <c r="C55" s="140">
        <v>115604</v>
      </c>
      <c r="D55" s="100">
        <v>3.8704999999999998</v>
      </c>
      <c r="E55" s="146">
        <f>ROUND(C55*D55,2)</f>
        <v>447445.28</v>
      </c>
      <c r="F55" s="146">
        <f t="shared" ref="F55:F62" si="17">ROUND(E55*0.18,2)</f>
        <v>80540.149999999994</v>
      </c>
      <c r="G55" s="146">
        <f>ROUND(E55+F55,2)</f>
        <v>527985.43000000005</v>
      </c>
      <c r="I55" s="81"/>
    </row>
    <row r="56" spans="1:11">
      <c r="B56" s="98" t="s">
        <v>31</v>
      </c>
      <c r="C56" s="140">
        <v>126964</v>
      </c>
      <c r="D56" s="100">
        <v>3.8777599999999999</v>
      </c>
      <c r="E56" s="146">
        <f>ROUND(C56*D56,2)</f>
        <v>492335.92</v>
      </c>
      <c r="F56" s="146">
        <f t="shared" si="17"/>
        <v>88620.47</v>
      </c>
      <c r="G56" s="146">
        <f t="shared" ref="G56:G62" si="18">ROUND(E56+F56,2)</f>
        <v>580956.39</v>
      </c>
      <c r="I56" s="81"/>
    </row>
    <row r="57" spans="1:11">
      <c r="B57" s="98" t="s">
        <v>31</v>
      </c>
      <c r="C57" s="140">
        <v>86220</v>
      </c>
      <c r="D57" s="100">
        <v>3.9235000000000002</v>
      </c>
      <c r="E57" s="146">
        <f t="shared" ref="E57:E60" si="19">ROUND(C57*D57,2)</f>
        <v>338284.17</v>
      </c>
      <c r="F57" s="146">
        <f t="shared" si="17"/>
        <v>60891.15</v>
      </c>
      <c r="G57" s="146">
        <f t="shared" si="18"/>
        <v>399175.32</v>
      </c>
      <c r="I57" s="81"/>
    </row>
    <row r="58" spans="1:11">
      <c r="B58" s="98" t="s">
        <v>31</v>
      </c>
      <c r="C58" s="140">
        <v>7182</v>
      </c>
      <c r="D58" s="100">
        <v>3.9677699999999998</v>
      </c>
      <c r="E58" s="146">
        <f t="shared" si="19"/>
        <v>28496.52</v>
      </c>
      <c r="F58" s="146">
        <f t="shared" si="17"/>
        <v>5129.37</v>
      </c>
      <c r="G58" s="146">
        <f t="shared" si="18"/>
        <v>33625.89</v>
      </c>
      <c r="I58" s="81"/>
    </row>
    <row r="59" spans="1:11">
      <c r="B59" s="98" t="s">
        <v>31</v>
      </c>
      <c r="C59" s="140">
        <v>42593</v>
      </c>
      <c r="D59" s="100">
        <v>3.9971000000000001</v>
      </c>
      <c r="E59" s="146">
        <f t="shared" si="19"/>
        <v>170248.48</v>
      </c>
      <c r="F59" s="146">
        <f t="shared" si="17"/>
        <v>30644.73</v>
      </c>
      <c r="G59" s="146">
        <f t="shared" si="18"/>
        <v>200893.21</v>
      </c>
      <c r="I59" s="81"/>
    </row>
    <row r="60" spans="1:11">
      <c r="B60" s="98" t="s">
        <v>31</v>
      </c>
      <c r="C60" s="140">
        <v>19234</v>
      </c>
      <c r="D60" s="100">
        <v>4.0430400000000004</v>
      </c>
      <c r="E60" s="146">
        <f t="shared" si="19"/>
        <v>77763.83</v>
      </c>
      <c r="F60" s="146">
        <f t="shared" si="17"/>
        <v>13997.49</v>
      </c>
      <c r="G60" s="146">
        <f t="shared" si="18"/>
        <v>91761.32</v>
      </c>
      <c r="I60" s="81"/>
    </row>
    <row r="61" spans="1:11">
      <c r="B61" s="98" t="s">
        <v>31</v>
      </c>
      <c r="C61" s="140">
        <v>59058</v>
      </c>
      <c r="D61" s="100">
        <v>4.0750299999999999</v>
      </c>
      <c r="E61" s="146">
        <f>ROUND(C61*D61,2)</f>
        <v>240663.12</v>
      </c>
      <c r="F61" s="146">
        <f t="shared" si="17"/>
        <v>43319.360000000001</v>
      </c>
      <c r="G61" s="146">
        <f t="shared" si="18"/>
        <v>283982.48</v>
      </c>
      <c r="I61" s="81"/>
    </row>
    <row r="62" spans="1:11" ht="15.75" thickBot="1">
      <c r="B62" s="61" t="s">
        <v>31</v>
      </c>
      <c r="C62" s="141">
        <v>85820</v>
      </c>
      <c r="D62" s="64">
        <v>4.0938299999999996</v>
      </c>
      <c r="E62" s="147">
        <f>ROUND(C62*D62,2)</f>
        <v>351332.49</v>
      </c>
      <c r="F62" s="147">
        <f t="shared" si="17"/>
        <v>63239.85</v>
      </c>
      <c r="G62" s="147">
        <f t="shared" si="18"/>
        <v>414572.34</v>
      </c>
      <c r="I62" s="81"/>
    </row>
    <row r="63" spans="1:11">
      <c r="B63" t="s">
        <v>58</v>
      </c>
      <c r="C63" s="142">
        <f>SUM(C54:C62)</f>
        <v>645185</v>
      </c>
      <c r="D63" s="86">
        <f>E63/C63</f>
        <v>3.940816494493828</v>
      </c>
      <c r="E63" s="148">
        <f>SUM(E54:E62)</f>
        <v>2542555.6900000004</v>
      </c>
      <c r="F63" s="148">
        <f>ROUND(E63*0.18,2)</f>
        <v>457660.02</v>
      </c>
      <c r="G63" s="148">
        <f>ROUND(E63+F63,2)</f>
        <v>3000215.71</v>
      </c>
      <c r="I63" s="81"/>
    </row>
    <row r="64" spans="1:11" ht="15.75" thickBot="1">
      <c r="B64" t="s">
        <v>59</v>
      </c>
      <c r="C64" s="143">
        <v>645185</v>
      </c>
      <c r="D64" s="83">
        <v>3.94082</v>
      </c>
      <c r="E64" s="149">
        <v>2542555.33</v>
      </c>
      <c r="F64" s="149">
        <f>557207.96-F65</f>
        <v>457659.97</v>
      </c>
      <c r="G64" s="149">
        <f>E64+F64</f>
        <v>3000215.3</v>
      </c>
      <c r="I64" s="81"/>
    </row>
    <row r="65" spans="1:11" ht="15.75" thickBot="1">
      <c r="B65" s="102" t="s">
        <v>33</v>
      </c>
      <c r="C65" s="144">
        <v>1149</v>
      </c>
      <c r="D65" s="104">
        <v>481.32670000000002</v>
      </c>
      <c r="E65" s="150">
        <v>553044.37</v>
      </c>
      <c r="F65" s="151">
        <f t="shared" ref="F65" si="20">ROUND(E65*0.18,2)</f>
        <v>99547.99</v>
      </c>
      <c r="G65" s="151">
        <f t="shared" ref="G65" si="21">ROUND(E65+F65,2)</f>
        <v>652592.36</v>
      </c>
      <c r="I65" s="81"/>
    </row>
    <row r="67" spans="1:11">
      <c r="D67" t="s">
        <v>58</v>
      </c>
      <c r="E67" s="89">
        <f>E63/C63</f>
        <v>3.940816494493828</v>
      </c>
    </row>
    <row r="68" spans="1:11">
      <c r="D68" t="s">
        <v>59</v>
      </c>
      <c r="E68" s="89">
        <f>E64/C64</f>
        <v>3.9408159365143334</v>
      </c>
    </row>
    <row r="69" spans="1:11" s="95" customFormat="1" ht="32.25" thickBot="1">
      <c r="A69" s="168" t="s">
        <v>104</v>
      </c>
      <c r="B69" s="168"/>
      <c r="C69" s="168"/>
      <c r="D69" s="168"/>
      <c r="E69" s="168"/>
      <c r="F69" s="168"/>
      <c r="G69" s="168"/>
    </row>
    <row r="70" spans="1:11" ht="15.75" thickBot="1">
      <c r="A70" s="53"/>
      <c r="B70" s="54"/>
      <c r="C70" s="55" t="s">
        <v>32</v>
      </c>
      <c r="D70" s="55" t="s">
        <v>25</v>
      </c>
      <c r="E70" s="55" t="s">
        <v>26</v>
      </c>
      <c r="F70" s="55" t="s">
        <v>27</v>
      </c>
      <c r="G70" s="56" t="s">
        <v>28</v>
      </c>
      <c r="H70" s="88"/>
      <c r="I70" s="74"/>
      <c r="K70" s="74"/>
    </row>
    <row r="71" spans="1:11">
      <c r="A71" s="160" t="s">
        <v>105</v>
      </c>
      <c r="B71" s="58" t="s">
        <v>31</v>
      </c>
      <c r="C71" s="139">
        <v>112854</v>
      </c>
      <c r="D71" s="65">
        <v>4.0429700000000004</v>
      </c>
      <c r="E71" s="145">
        <f>ROUND(C71*D71,2)</f>
        <v>456265.34</v>
      </c>
      <c r="F71" s="145">
        <f>ROUND(E71*0.18,2)</f>
        <v>82127.759999999995</v>
      </c>
      <c r="G71" s="145">
        <f>ROUND(E71+F71,2)</f>
        <v>538393.1</v>
      </c>
      <c r="I71" s="81"/>
    </row>
    <row r="72" spans="1:11" ht="15.75" thickBot="1">
      <c r="A72" s="161"/>
      <c r="B72" s="98" t="s">
        <v>31</v>
      </c>
      <c r="C72" s="140">
        <v>103408</v>
      </c>
      <c r="D72" s="100">
        <v>4.0594700000000001</v>
      </c>
      <c r="E72" s="146">
        <f>ROUND(C72*D72,2)</f>
        <v>419781.67</v>
      </c>
      <c r="F72" s="146">
        <f t="shared" ref="F72:F79" si="22">ROUND(E72*0.18,2)</f>
        <v>75560.7</v>
      </c>
      <c r="G72" s="146">
        <f>ROUND(E72+F72,2)</f>
        <v>495342.37</v>
      </c>
      <c r="I72" s="81"/>
    </row>
    <row r="73" spans="1:11">
      <c r="B73" s="98" t="s">
        <v>31</v>
      </c>
      <c r="C73" s="140">
        <v>128946</v>
      </c>
      <c r="D73" s="100">
        <v>4.0661100000000001</v>
      </c>
      <c r="E73" s="146">
        <f>ROUND(C73*D73,2)</f>
        <v>524308.62</v>
      </c>
      <c r="F73" s="146">
        <f t="shared" si="22"/>
        <v>94375.55</v>
      </c>
      <c r="G73" s="146">
        <f t="shared" ref="G73:G79" si="23">ROUND(E73+F73,2)</f>
        <v>618684.17000000004</v>
      </c>
      <c r="I73" s="81"/>
    </row>
    <row r="74" spans="1:11">
      <c r="B74" s="98" t="s">
        <v>31</v>
      </c>
      <c r="C74" s="140">
        <v>88275</v>
      </c>
      <c r="D74" s="100">
        <v>4.1230099999999998</v>
      </c>
      <c r="E74" s="146">
        <f t="shared" ref="E74:E77" si="24">ROUND(C74*D74,2)</f>
        <v>363958.71</v>
      </c>
      <c r="F74" s="146">
        <f t="shared" si="22"/>
        <v>65512.57</v>
      </c>
      <c r="G74" s="146">
        <f t="shared" si="23"/>
        <v>429471.28</v>
      </c>
      <c r="I74" s="81"/>
    </row>
    <row r="75" spans="1:11">
      <c r="B75" s="98" t="s">
        <v>31</v>
      </c>
      <c r="C75" s="140">
        <v>6777</v>
      </c>
      <c r="D75" s="100">
        <v>4.1702300000000001</v>
      </c>
      <c r="E75" s="146">
        <f t="shared" si="24"/>
        <v>28261.65</v>
      </c>
      <c r="F75" s="146">
        <f t="shared" si="22"/>
        <v>5087.1000000000004</v>
      </c>
      <c r="G75" s="146">
        <f t="shared" si="23"/>
        <v>33348.75</v>
      </c>
      <c r="I75" s="81"/>
    </row>
    <row r="76" spans="1:11">
      <c r="B76" s="98" t="s">
        <v>31</v>
      </c>
      <c r="C76" s="140">
        <v>26424</v>
      </c>
      <c r="D76" s="100">
        <v>4.1837099999999996</v>
      </c>
      <c r="E76" s="146">
        <f t="shared" si="24"/>
        <v>110550.35</v>
      </c>
      <c r="F76" s="146">
        <f t="shared" si="22"/>
        <v>19899.060000000001</v>
      </c>
      <c r="G76" s="146">
        <f t="shared" si="23"/>
        <v>130449.41</v>
      </c>
      <c r="I76" s="81"/>
    </row>
    <row r="77" spans="1:11">
      <c r="B77" s="98" t="s">
        <v>31</v>
      </c>
      <c r="C77" s="140">
        <v>24462</v>
      </c>
      <c r="D77" s="100">
        <v>4.2635399999999999</v>
      </c>
      <c r="E77" s="146">
        <f t="shared" si="24"/>
        <v>104294.72</v>
      </c>
      <c r="F77" s="146">
        <f t="shared" si="22"/>
        <v>18773.05</v>
      </c>
      <c r="G77" s="146">
        <f t="shared" si="23"/>
        <v>123067.77</v>
      </c>
      <c r="I77" s="81"/>
    </row>
    <row r="78" spans="1:11">
      <c r="B78" s="98" t="s">
        <v>31</v>
      </c>
      <c r="C78" s="140">
        <v>103275</v>
      </c>
      <c r="D78" s="100">
        <v>4.3005300000000002</v>
      </c>
      <c r="E78" s="146">
        <f>ROUND(C78*D78,2)</f>
        <v>444137.24</v>
      </c>
      <c r="F78" s="146">
        <f t="shared" si="22"/>
        <v>79944.7</v>
      </c>
      <c r="G78" s="146">
        <f t="shared" si="23"/>
        <v>524081.94</v>
      </c>
      <c r="I78" s="81"/>
    </row>
    <row r="79" spans="1:11" ht="15.75" thickBot="1">
      <c r="B79" s="61" t="s">
        <v>31</v>
      </c>
      <c r="C79" s="141">
        <v>45219</v>
      </c>
      <c r="D79" s="64">
        <v>4.3133900000000001</v>
      </c>
      <c r="E79" s="147">
        <f>ROUND(C79*D79,2)</f>
        <v>195047.18</v>
      </c>
      <c r="F79" s="147">
        <f t="shared" si="22"/>
        <v>35108.49</v>
      </c>
      <c r="G79" s="147">
        <f t="shared" si="23"/>
        <v>230155.67</v>
      </c>
      <c r="I79" s="81"/>
    </row>
    <row r="80" spans="1:11">
      <c r="B80" t="s">
        <v>58</v>
      </c>
      <c r="C80" s="142">
        <f>SUM(C71:C79)</f>
        <v>639640</v>
      </c>
      <c r="D80" s="86">
        <f>E80/C80</f>
        <v>4.1376484897754988</v>
      </c>
      <c r="E80" s="148">
        <f>SUM(E71:E79)</f>
        <v>2646605.48</v>
      </c>
      <c r="F80" s="148">
        <f>ROUND(E80*0.18,2)</f>
        <v>476388.99</v>
      </c>
      <c r="G80" s="148">
        <f>ROUND(E80+F80,2)</f>
        <v>3122994.47</v>
      </c>
      <c r="I80" s="81"/>
    </row>
    <row r="81" spans="1:11" ht="15.75" thickBot="1">
      <c r="B81" t="s">
        <v>59</v>
      </c>
      <c r="C81" s="143">
        <v>639640</v>
      </c>
      <c r="D81" s="83">
        <v>4.1376499999999998</v>
      </c>
      <c r="E81" s="149">
        <v>2646605.65</v>
      </c>
      <c r="F81" s="149">
        <f>596434.21-120045.2</f>
        <v>476389.00999999995</v>
      </c>
      <c r="G81" s="149">
        <f>E81+F81</f>
        <v>3122994.6599999997</v>
      </c>
      <c r="I81" s="81"/>
    </row>
    <row r="82" spans="1:11" ht="15.75" thickBot="1">
      <c r="B82" s="102" t="s">
        <v>33</v>
      </c>
      <c r="C82" s="144">
        <v>1322</v>
      </c>
      <c r="D82" s="104">
        <v>504.47638999999998</v>
      </c>
      <c r="E82" s="150">
        <v>666917.79</v>
      </c>
      <c r="F82" s="151">
        <f t="shared" ref="F82" si="25">ROUND(E82*0.18,2)</f>
        <v>120045.2</v>
      </c>
      <c r="G82" s="151">
        <f t="shared" ref="G82" si="26">ROUND(E82+F82,2)</f>
        <v>786962.99</v>
      </c>
      <c r="I82" s="81"/>
    </row>
    <row r="84" spans="1:11">
      <c r="D84" t="s">
        <v>58</v>
      </c>
      <c r="E84" s="89">
        <f>E80/C80</f>
        <v>4.1376484897754988</v>
      </c>
    </row>
    <row r="85" spans="1:11">
      <c r="D85" t="s">
        <v>59</v>
      </c>
      <c r="E85" s="89">
        <f>E81/C81</f>
        <v>4.1376487555499963</v>
      </c>
    </row>
    <row r="86" spans="1:11" s="95" customFormat="1" ht="32.25" thickBot="1">
      <c r="A86" s="168" t="s">
        <v>101</v>
      </c>
      <c r="B86" s="168"/>
      <c r="C86" s="168"/>
      <c r="D86" s="168"/>
      <c r="E86" s="168"/>
      <c r="F86" s="168"/>
      <c r="G86" s="168"/>
    </row>
    <row r="87" spans="1:11" ht="15.75" thickBot="1">
      <c r="A87" s="53"/>
      <c r="B87" s="54"/>
      <c r="C87" s="55" t="s">
        <v>32</v>
      </c>
      <c r="D87" s="55" t="s">
        <v>25</v>
      </c>
      <c r="E87" s="55" t="s">
        <v>26</v>
      </c>
      <c r="F87" s="55" t="s">
        <v>27</v>
      </c>
      <c r="G87" s="56" t="s">
        <v>28</v>
      </c>
      <c r="H87" s="88"/>
      <c r="I87" s="74"/>
      <c r="K87" s="74"/>
    </row>
    <row r="88" spans="1:11">
      <c r="A88" s="160" t="s">
        <v>6</v>
      </c>
      <c r="B88" s="58" t="s">
        <v>31</v>
      </c>
      <c r="C88" s="139">
        <v>99783</v>
      </c>
      <c r="D88" s="65">
        <v>3.88456</v>
      </c>
      <c r="E88" s="145">
        <f>ROUND(C88*D88,2)</f>
        <v>387613.05</v>
      </c>
      <c r="F88" s="145">
        <f>ROUND(E88*0.18,2)</f>
        <v>69770.350000000006</v>
      </c>
      <c r="G88" s="145">
        <f>ROUND(E88+F88,2)</f>
        <v>457383.4</v>
      </c>
      <c r="I88" s="81"/>
    </row>
    <row r="89" spans="1:11" ht="15.75" thickBot="1">
      <c r="A89" s="161"/>
      <c r="B89" s="98" t="s">
        <v>31</v>
      </c>
      <c r="C89" s="140">
        <v>146027</v>
      </c>
      <c r="D89" s="100">
        <v>3.8870300000000002</v>
      </c>
      <c r="E89" s="146">
        <f>ROUND(C89*D89,2)</f>
        <v>567611.32999999996</v>
      </c>
      <c r="F89" s="146">
        <f t="shared" ref="F89:F96" si="27">ROUND(E89*0.18,2)</f>
        <v>102170.04</v>
      </c>
      <c r="G89" s="146">
        <f>ROUND(E89+F89,2)</f>
        <v>669781.37</v>
      </c>
      <c r="I89" s="81"/>
    </row>
    <row r="90" spans="1:11">
      <c r="B90" s="98" t="s">
        <v>31</v>
      </c>
      <c r="C90" s="140">
        <v>102576</v>
      </c>
      <c r="D90" s="100">
        <v>3.8927999999999998</v>
      </c>
      <c r="E90" s="146">
        <f>ROUND(C90*D90,2)</f>
        <v>399307.85</v>
      </c>
      <c r="F90" s="146">
        <f t="shared" si="27"/>
        <v>71875.41</v>
      </c>
      <c r="G90" s="146">
        <f t="shared" ref="G90:G96" si="28">ROUND(E90+F90,2)</f>
        <v>471183.26</v>
      </c>
      <c r="I90" s="81"/>
    </row>
    <row r="91" spans="1:11">
      <c r="B91" s="98" t="s">
        <v>31</v>
      </c>
      <c r="C91" s="140">
        <v>86271</v>
      </c>
      <c r="D91" s="100">
        <v>3.92849</v>
      </c>
      <c r="E91" s="146">
        <f t="shared" ref="E91:E94" si="29">ROUND(C91*D91,2)</f>
        <v>338914.76</v>
      </c>
      <c r="F91" s="146">
        <f t="shared" si="27"/>
        <v>61004.66</v>
      </c>
      <c r="G91" s="146">
        <f t="shared" si="28"/>
        <v>399919.42</v>
      </c>
      <c r="I91" s="81"/>
    </row>
    <row r="92" spans="1:11">
      <c r="B92" s="98" t="s">
        <v>31</v>
      </c>
      <c r="C92" s="140">
        <v>6075</v>
      </c>
      <c r="D92" s="100">
        <v>3.9949300000000001</v>
      </c>
      <c r="E92" s="146">
        <f t="shared" si="29"/>
        <v>24269.200000000001</v>
      </c>
      <c r="F92" s="146">
        <f t="shared" si="27"/>
        <v>4368.46</v>
      </c>
      <c r="G92" s="146">
        <f t="shared" si="28"/>
        <v>28637.66</v>
      </c>
      <c r="I92" s="81"/>
    </row>
    <row r="93" spans="1:11">
      <c r="B93" s="98" t="s">
        <v>31</v>
      </c>
      <c r="C93" s="140">
        <v>26067</v>
      </c>
      <c r="D93" s="100">
        <v>4.0150800000000002</v>
      </c>
      <c r="E93" s="146">
        <f t="shared" si="29"/>
        <v>104661.09</v>
      </c>
      <c r="F93" s="146">
        <f t="shared" si="27"/>
        <v>18839</v>
      </c>
      <c r="G93" s="146">
        <f t="shared" si="28"/>
        <v>123500.09</v>
      </c>
      <c r="I93" s="81"/>
    </row>
    <row r="94" spans="1:11">
      <c r="B94" s="98" t="s">
        <v>31</v>
      </c>
      <c r="C94" s="140">
        <v>24267</v>
      </c>
      <c r="D94" s="100">
        <v>4.0981100000000001</v>
      </c>
      <c r="E94" s="146">
        <f t="shared" si="29"/>
        <v>99448.84</v>
      </c>
      <c r="F94" s="146">
        <f t="shared" si="27"/>
        <v>17900.79</v>
      </c>
      <c r="G94" s="146">
        <f t="shared" si="28"/>
        <v>117349.63</v>
      </c>
      <c r="I94" s="81"/>
    </row>
    <row r="95" spans="1:11">
      <c r="B95" s="98" t="s">
        <v>31</v>
      </c>
      <c r="C95" s="140">
        <v>48054</v>
      </c>
      <c r="D95" s="100">
        <v>4.1498699999999999</v>
      </c>
      <c r="E95" s="146">
        <f>ROUND(C95*D95,2)</f>
        <v>199417.85</v>
      </c>
      <c r="F95" s="146">
        <f t="shared" si="27"/>
        <v>35895.21</v>
      </c>
      <c r="G95" s="146">
        <f t="shared" si="28"/>
        <v>235313.06</v>
      </c>
      <c r="I95" s="81"/>
    </row>
    <row r="96" spans="1:11" ht="15.75" thickBot="1">
      <c r="B96" s="61" t="s">
        <v>31</v>
      </c>
      <c r="C96" s="141">
        <v>77030</v>
      </c>
      <c r="D96" s="64">
        <v>4.1550599999999998</v>
      </c>
      <c r="E96" s="147">
        <f>ROUND(C96*D96,2)</f>
        <v>320064.27</v>
      </c>
      <c r="F96" s="147">
        <f t="shared" si="27"/>
        <v>57611.57</v>
      </c>
      <c r="G96" s="147">
        <f t="shared" si="28"/>
        <v>377675.84</v>
      </c>
      <c r="I96" s="81"/>
    </row>
    <row r="97" spans="1:11">
      <c r="B97" t="s">
        <v>58</v>
      </c>
      <c r="C97" s="142">
        <f>SUM(C88:C96)</f>
        <v>616150</v>
      </c>
      <c r="D97" s="86">
        <f>E97/C97</f>
        <v>3.9621979063539725</v>
      </c>
      <c r="E97" s="148">
        <f>SUM(E88:E96)</f>
        <v>2441308.2400000002</v>
      </c>
      <c r="F97" s="148">
        <f>ROUND(E97*0.18,2)</f>
        <v>439435.48</v>
      </c>
      <c r="G97" s="148">
        <f>ROUND(E97+F97,2)</f>
        <v>2880743.72</v>
      </c>
      <c r="I97" s="81"/>
    </row>
    <row r="98" spans="1:11" ht="15.75" thickBot="1">
      <c r="B98" t="s">
        <v>59</v>
      </c>
      <c r="C98" s="143">
        <v>616150</v>
      </c>
      <c r="D98" s="83">
        <v>3.9622000000000002</v>
      </c>
      <c r="E98" s="149">
        <v>2441307.87</v>
      </c>
      <c r="F98" s="149">
        <f>569011.45-129576.04</f>
        <v>439435.41</v>
      </c>
      <c r="G98" s="149">
        <f>E98+F98</f>
        <v>2880743.2800000003</v>
      </c>
      <c r="I98" s="81"/>
    </row>
    <row r="99" spans="1:11" ht="15.75" thickBot="1">
      <c r="B99" s="102" t="s">
        <v>33</v>
      </c>
      <c r="C99" s="144">
        <v>1397</v>
      </c>
      <c r="D99" s="104">
        <v>515.29485999999997</v>
      </c>
      <c r="E99" s="150">
        <v>719866.91</v>
      </c>
      <c r="F99" s="151">
        <f t="shared" ref="F99" si="30">ROUND(E99*0.18,2)</f>
        <v>129576.04</v>
      </c>
      <c r="G99" s="151">
        <f t="shared" ref="G99" si="31">ROUND(E99+F99,2)</f>
        <v>849442.95</v>
      </c>
      <c r="I99" s="81"/>
    </row>
    <row r="101" spans="1:11">
      <c r="D101" t="s">
        <v>58</v>
      </c>
      <c r="E101" s="89">
        <f>E97/C97</f>
        <v>3.9621979063539725</v>
      </c>
    </row>
    <row r="102" spans="1:11">
      <c r="D102" t="s">
        <v>59</v>
      </c>
      <c r="E102" s="89">
        <f>E98/C98</f>
        <v>3.9621973058508484</v>
      </c>
    </row>
    <row r="103" spans="1:11" s="95" customFormat="1" ht="32.25" thickBot="1">
      <c r="A103" s="168" t="s">
        <v>98</v>
      </c>
      <c r="B103" s="168"/>
      <c r="C103" s="168"/>
      <c r="D103" s="168"/>
      <c r="E103" s="168"/>
      <c r="F103" s="168"/>
      <c r="G103" s="168"/>
    </row>
    <row r="104" spans="1:11" ht="15.75" thickBot="1">
      <c r="A104" s="53"/>
      <c r="B104" s="54"/>
      <c r="C104" s="55" t="s">
        <v>32</v>
      </c>
      <c r="D104" s="55" t="s">
        <v>25</v>
      </c>
      <c r="E104" s="55" t="s">
        <v>26</v>
      </c>
      <c r="F104" s="55" t="s">
        <v>27</v>
      </c>
      <c r="G104" s="56" t="s">
        <v>28</v>
      </c>
      <c r="H104" s="88"/>
      <c r="I104" s="74"/>
      <c r="K104" s="74"/>
    </row>
    <row r="105" spans="1:11">
      <c r="A105" s="160" t="s">
        <v>5</v>
      </c>
      <c r="B105" s="58" t="s">
        <v>31</v>
      </c>
      <c r="C105" s="139">
        <v>113004</v>
      </c>
      <c r="D105" s="65">
        <v>3.6865899999999998</v>
      </c>
      <c r="E105" s="60">
        <f>ROUND(C105*D105,2)</f>
        <v>416599.42</v>
      </c>
      <c r="F105" s="60">
        <f>ROUND(E105*0.18,2)</f>
        <v>74987.899999999994</v>
      </c>
      <c r="G105" s="60">
        <f>ROUND(E105+F105,2)</f>
        <v>491587.32</v>
      </c>
      <c r="I105" s="81"/>
    </row>
    <row r="106" spans="1:11" ht="15.75" thickBot="1">
      <c r="A106" s="161"/>
      <c r="B106" s="98" t="s">
        <v>31</v>
      </c>
      <c r="C106" s="140">
        <v>96416</v>
      </c>
      <c r="D106" s="100">
        <v>3.6878600000000001</v>
      </c>
      <c r="E106" s="101">
        <f>ROUND(C106*D106,2)</f>
        <v>355568.71</v>
      </c>
      <c r="F106" s="101">
        <f t="shared" ref="F106:F113" si="32">ROUND(E106*0.18,2)</f>
        <v>64002.37</v>
      </c>
      <c r="G106" s="101">
        <f>ROUND(E106+F106,2)</f>
        <v>419571.08</v>
      </c>
      <c r="I106" s="81"/>
    </row>
    <row r="107" spans="1:11">
      <c r="B107" s="98" t="s">
        <v>31</v>
      </c>
      <c r="C107" s="140">
        <v>127552</v>
      </c>
      <c r="D107" s="100">
        <v>3.7278799999999999</v>
      </c>
      <c r="E107" s="101">
        <f>ROUND(C107*D107,2)</f>
        <v>475498.55</v>
      </c>
      <c r="F107" s="101">
        <f t="shared" si="32"/>
        <v>85589.74</v>
      </c>
      <c r="G107" s="101">
        <f t="shared" ref="G107:G113" si="33">ROUND(E107+F107,2)</f>
        <v>561088.29</v>
      </c>
      <c r="I107" s="81"/>
    </row>
    <row r="108" spans="1:11">
      <c r="B108" s="98" t="s">
        <v>31</v>
      </c>
      <c r="C108" s="140">
        <v>83985</v>
      </c>
      <c r="D108" s="100">
        <v>3.7457699999999998</v>
      </c>
      <c r="E108" s="101">
        <f t="shared" ref="E108:E111" si="34">ROUND(C108*D108,2)</f>
        <v>314588.49</v>
      </c>
      <c r="F108" s="101">
        <f t="shared" si="32"/>
        <v>56625.93</v>
      </c>
      <c r="G108" s="101">
        <f t="shared" si="33"/>
        <v>371214.42</v>
      </c>
      <c r="I108" s="81"/>
    </row>
    <row r="109" spans="1:11">
      <c r="B109" s="98" t="s">
        <v>31</v>
      </c>
      <c r="C109" s="140">
        <v>6009</v>
      </c>
      <c r="D109" s="100">
        <v>3.78261</v>
      </c>
      <c r="E109" s="101">
        <f t="shared" si="34"/>
        <v>22729.7</v>
      </c>
      <c r="F109" s="101">
        <f t="shared" si="32"/>
        <v>4091.35</v>
      </c>
      <c r="G109" s="101">
        <f t="shared" si="33"/>
        <v>26821.05</v>
      </c>
      <c r="I109" s="81"/>
    </row>
    <row r="110" spans="1:11">
      <c r="B110" s="98" t="s">
        <v>31</v>
      </c>
      <c r="C110" s="140">
        <v>27596</v>
      </c>
      <c r="D110" s="100">
        <v>3.7831299999999999</v>
      </c>
      <c r="E110" s="101">
        <f t="shared" si="34"/>
        <v>104399.26</v>
      </c>
      <c r="F110" s="101">
        <f t="shared" si="32"/>
        <v>18791.87</v>
      </c>
      <c r="G110" s="101">
        <f t="shared" si="33"/>
        <v>123191.13</v>
      </c>
      <c r="I110" s="81"/>
    </row>
    <row r="111" spans="1:11">
      <c r="B111" s="98" t="s">
        <v>31</v>
      </c>
      <c r="C111" s="140">
        <v>29358</v>
      </c>
      <c r="D111" s="100">
        <v>3.89602</v>
      </c>
      <c r="E111" s="101">
        <f t="shared" si="34"/>
        <v>114379.36</v>
      </c>
      <c r="F111" s="101">
        <f t="shared" si="32"/>
        <v>20588.28</v>
      </c>
      <c r="G111" s="101">
        <f t="shared" si="33"/>
        <v>134967.64000000001</v>
      </c>
      <c r="I111" s="81"/>
    </row>
    <row r="112" spans="1:11">
      <c r="B112" s="98" t="s">
        <v>31</v>
      </c>
      <c r="C112" s="140">
        <v>92168</v>
      </c>
      <c r="D112" s="100">
        <v>3.92509</v>
      </c>
      <c r="E112" s="101">
        <f>ROUND(C112*D112,2)</f>
        <v>361767.7</v>
      </c>
      <c r="F112" s="101">
        <f t="shared" si="32"/>
        <v>65118.19</v>
      </c>
      <c r="G112" s="101">
        <f t="shared" si="33"/>
        <v>426885.89</v>
      </c>
      <c r="I112" s="81"/>
    </row>
    <row r="113" spans="1:11" ht="15.75" thickBot="1">
      <c r="B113" s="61" t="s">
        <v>31</v>
      </c>
      <c r="C113" s="141">
        <v>51159</v>
      </c>
      <c r="D113" s="64">
        <v>3.93337</v>
      </c>
      <c r="E113" s="63">
        <f>ROUND(C113*D113,2)</f>
        <v>201227.28</v>
      </c>
      <c r="F113" s="63">
        <f t="shared" si="32"/>
        <v>36220.910000000003</v>
      </c>
      <c r="G113" s="63">
        <f t="shared" si="33"/>
        <v>237448.19</v>
      </c>
      <c r="I113" s="81"/>
    </row>
    <row r="114" spans="1:11">
      <c r="B114" t="s">
        <v>58</v>
      </c>
      <c r="C114" s="142">
        <f>SUM(C105:C113)</f>
        <v>627247</v>
      </c>
      <c r="D114" s="86">
        <f>E114/C114</f>
        <v>3.7732479708950377</v>
      </c>
      <c r="E114" s="87">
        <f>SUM(E105:E113)</f>
        <v>2366758.4699999997</v>
      </c>
      <c r="F114" s="87">
        <f>ROUND(E114*0.18,2)</f>
        <v>426016.52</v>
      </c>
      <c r="G114" s="87">
        <f>ROUND(E114+F114,2)</f>
        <v>2792774.99</v>
      </c>
      <c r="I114" s="81"/>
    </row>
    <row r="115" spans="1:11" ht="15.75" thickBot="1">
      <c r="B115" t="s">
        <v>59</v>
      </c>
      <c r="C115" s="143">
        <v>627247</v>
      </c>
      <c r="D115" s="83">
        <v>3.77325</v>
      </c>
      <c r="E115" s="84">
        <v>2366757.59</v>
      </c>
      <c r="F115" s="84">
        <f>547153.49-121137.13</f>
        <v>426016.36</v>
      </c>
      <c r="G115" s="84">
        <f>E115+F115</f>
        <v>2792773.9499999997</v>
      </c>
      <c r="I115" s="81"/>
    </row>
    <row r="116" spans="1:11" ht="15.75" thickBot="1">
      <c r="B116" s="102" t="s">
        <v>33</v>
      </c>
      <c r="C116" s="144">
        <v>1305</v>
      </c>
      <c r="D116" s="104">
        <v>515.69659000000001</v>
      </c>
      <c r="E116" s="109">
        <v>672984.04</v>
      </c>
      <c r="F116" s="106">
        <f t="shared" ref="F116" si="35">ROUND(E116*0.18,2)</f>
        <v>121137.13</v>
      </c>
      <c r="G116" s="106">
        <f t="shared" ref="G116" si="36">ROUND(E116+F116,2)</f>
        <v>794121.17</v>
      </c>
      <c r="I116" s="81"/>
    </row>
    <row r="118" spans="1:11">
      <c r="D118" t="s">
        <v>58</v>
      </c>
      <c r="E118" s="89">
        <f>E114/C114</f>
        <v>3.7732479708950377</v>
      </c>
    </row>
    <row r="119" spans="1:11">
      <c r="D119" t="s">
        <v>59</v>
      </c>
      <c r="E119" s="89">
        <f>E115/C115</f>
        <v>3.7732465679389455</v>
      </c>
    </row>
    <row r="120" spans="1:11" s="95" customFormat="1" ht="32.25" thickBot="1">
      <c r="A120" s="172" t="s">
        <v>97</v>
      </c>
      <c r="B120" s="172"/>
      <c r="C120" s="172"/>
      <c r="D120" s="172"/>
      <c r="E120" s="172"/>
      <c r="F120" s="172"/>
      <c r="G120" s="172"/>
    </row>
    <row r="121" spans="1:11" ht="15.75" thickBot="1">
      <c r="A121" s="117"/>
      <c r="B121" s="118"/>
      <c r="C121" s="119" t="s">
        <v>32</v>
      </c>
      <c r="D121" s="119" t="s">
        <v>25</v>
      </c>
      <c r="E121" s="119" t="s">
        <v>26</v>
      </c>
      <c r="F121" s="119" t="s">
        <v>27</v>
      </c>
      <c r="G121" s="120" t="s">
        <v>28</v>
      </c>
      <c r="H121" s="88"/>
      <c r="I121" s="74"/>
      <c r="K121" s="74"/>
    </row>
    <row r="122" spans="1:11">
      <c r="A122" s="173" t="s">
        <v>4</v>
      </c>
      <c r="B122" s="121" t="s">
        <v>31</v>
      </c>
      <c r="C122" s="122">
        <v>92872</v>
      </c>
      <c r="D122" s="123">
        <v>3.57592</v>
      </c>
      <c r="E122" s="124">
        <f>ROUND(C122*D122,2)</f>
        <v>332102.84000000003</v>
      </c>
      <c r="F122" s="124">
        <f>ROUND(E122*0.18,2)</f>
        <v>59778.51</v>
      </c>
      <c r="G122" s="124">
        <f>ROUND(E122+F122,2)</f>
        <v>391881.35</v>
      </c>
      <c r="I122" s="81"/>
    </row>
    <row r="123" spans="1:11" ht="15.75" thickBot="1">
      <c r="A123" s="174"/>
      <c r="B123" s="125" t="s">
        <v>31</v>
      </c>
      <c r="C123" s="126">
        <v>98688</v>
      </c>
      <c r="D123" s="127">
        <v>3.5792199999999998</v>
      </c>
      <c r="E123" s="128">
        <f>ROUND(C123*D123,2)</f>
        <v>353226.06</v>
      </c>
      <c r="F123" s="128">
        <f t="shared" ref="F123:F130" si="37">ROUND(E123*0.18,2)</f>
        <v>63580.69</v>
      </c>
      <c r="G123" s="128">
        <f>ROUND(E123+F123,2)</f>
        <v>416806.75</v>
      </c>
      <c r="I123" s="81"/>
    </row>
    <row r="124" spans="1:11">
      <c r="A124" s="129"/>
      <c r="B124" s="125" t="s">
        <v>31</v>
      </c>
      <c r="C124" s="126">
        <v>129051</v>
      </c>
      <c r="D124" s="127">
        <v>3.5822400000000001</v>
      </c>
      <c r="E124" s="128">
        <f>ROUND(C124*D124,2)</f>
        <v>462291.65</v>
      </c>
      <c r="F124" s="128">
        <f t="shared" si="37"/>
        <v>83212.5</v>
      </c>
      <c r="G124" s="128">
        <f t="shared" ref="G124:G130" si="38">ROUND(E124+F124,2)</f>
        <v>545504.15</v>
      </c>
      <c r="I124" s="81"/>
    </row>
    <row r="125" spans="1:11">
      <c r="A125" s="129"/>
      <c r="B125" s="125" t="s">
        <v>31</v>
      </c>
      <c r="C125" s="126">
        <v>86640</v>
      </c>
      <c r="D125" s="127">
        <v>3.6266799999999999</v>
      </c>
      <c r="E125" s="128">
        <f t="shared" ref="E125:E128" si="39">ROUND(C125*D125,2)</f>
        <v>314215.56</v>
      </c>
      <c r="F125" s="128">
        <f t="shared" si="37"/>
        <v>56558.8</v>
      </c>
      <c r="G125" s="128">
        <f t="shared" si="38"/>
        <v>370774.36</v>
      </c>
      <c r="I125" s="81"/>
    </row>
    <row r="126" spans="1:11">
      <c r="A126" s="129"/>
      <c r="B126" s="125" t="s">
        <v>31</v>
      </c>
      <c r="C126" s="126">
        <v>54355</v>
      </c>
      <c r="D126" s="127">
        <v>3.6601300000000001</v>
      </c>
      <c r="E126" s="128">
        <f t="shared" si="39"/>
        <v>198946.37</v>
      </c>
      <c r="F126" s="128">
        <f t="shared" si="37"/>
        <v>35810.35</v>
      </c>
      <c r="G126" s="128">
        <f t="shared" si="38"/>
        <v>234756.72</v>
      </c>
      <c r="I126" s="81"/>
    </row>
    <row r="127" spans="1:11">
      <c r="A127" s="129"/>
      <c r="B127" s="125" t="s">
        <v>31</v>
      </c>
      <c r="C127" s="126">
        <v>6876</v>
      </c>
      <c r="D127" s="127">
        <v>3.67361</v>
      </c>
      <c r="E127" s="128">
        <f t="shared" si="39"/>
        <v>25259.74</v>
      </c>
      <c r="F127" s="128">
        <f t="shared" si="37"/>
        <v>4546.75</v>
      </c>
      <c r="G127" s="128">
        <f t="shared" si="38"/>
        <v>29806.49</v>
      </c>
      <c r="I127" s="81"/>
    </row>
    <row r="128" spans="1:11">
      <c r="A128" s="129"/>
      <c r="B128" s="125" t="s">
        <v>31</v>
      </c>
      <c r="C128" s="126">
        <v>34045</v>
      </c>
      <c r="D128" s="127">
        <v>3.7398500000000001</v>
      </c>
      <c r="E128" s="128">
        <f t="shared" si="39"/>
        <v>127323.19</v>
      </c>
      <c r="F128" s="128">
        <f t="shared" si="37"/>
        <v>22918.17</v>
      </c>
      <c r="G128" s="128">
        <f t="shared" si="38"/>
        <v>150241.35999999999</v>
      </c>
      <c r="I128" s="81"/>
    </row>
    <row r="129" spans="1:11">
      <c r="A129" s="129"/>
      <c r="B129" s="125" t="s">
        <v>31</v>
      </c>
      <c r="C129" s="126">
        <v>33399</v>
      </c>
      <c r="D129" s="127">
        <v>3.7703799999999998</v>
      </c>
      <c r="E129" s="128">
        <f>ROUND(C129*D129,2)</f>
        <v>125926.92</v>
      </c>
      <c r="F129" s="128">
        <f t="shared" si="37"/>
        <v>22666.85</v>
      </c>
      <c r="G129" s="128">
        <f t="shared" si="38"/>
        <v>148593.76999999999</v>
      </c>
      <c r="I129" s="81"/>
    </row>
    <row r="130" spans="1:11" ht="15.75" thickBot="1">
      <c r="A130" s="129"/>
      <c r="B130" s="130" t="s">
        <v>31</v>
      </c>
      <c r="C130" s="131">
        <v>62652</v>
      </c>
      <c r="D130" s="132">
        <v>3.7783600000000002</v>
      </c>
      <c r="E130" s="133">
        <f>ROUND(C130*D130,2)</f>
        <v>236721.81</v>
      </c>
      <c r="F130" s="133">
        <f t="shared" si="37"/>
        <v>42609.93</v>
      </c>
      <c r="G130" s="133">
        <f t="shared" si="38"/>
        <v>279331.74</v>
      </c>
      <c r="I130" s="81"/>
    </row>
    <row r="131" spans="1:11">
      <c r="A131" s="129"/>
      <c r="B131" s="129" t="s">
        <v>58</v>
      </c>
      <c r="C131" s="85">
        <f>SUM(C122:C130)</f>
        <v>598578</v>
      </c>
      <c r="D131" s="86">
        <f>E131/C131</f>
        <v>3.6353059083360892</v>
      </c>
      <c r="E131" s="87">
        <f>SUM(E122:E130)</f>
        <v>2176014.1399999997</v>
      </c>
      <c r="F131" s="87">
        <f>ROUND(E131*0.18,2)</f>
        <v>391682.55</v>
      </c>
      <c r="G131" s="87">
        <f>ROUND(E131+F131,2)</f>
        <v>2567696.69</v>
      </c>
      <c r="I131" s="81"/>
    </row>
    <row r="132" spans="1:11" ht="15.75" thickBot="1">
      <c r="A132" s="129"/>
      <c r="B132" s="129" t="s">
        <v>59</v>
      </c>
      <c r="C132" s="85">
        <v>598578</v>
      </c>
      <c r="D132" s="86">
        <v>3.63531</v>
      </c>
      <c r="E132" s="87">
        <v>2176013.64</v>
      </c>
      <c r="F132" s="87">
        <f>505383.2-113700.74</f>
        <v>391682.46</v>
      </c>
      <c r="G132" s="87">
        <f>E132+F132</f>
        <v>2567696.1</v>
      </c>
      <c r="I132" s="81"/>
    </row>
    <row r="133" spans="1:11" ht="15.75" thickBot="1">
      <c r="A133" s="129"/>
      <c r="B133" s="134" t="s">
        <v>33</v>
      </c>
      <c r="C133" s="135">
        <v>1274</v>
      </c>
      <c r="D133" s="136">
        <v>495.81691999999998</v>
      </c>
      <c r="E133" s="137">
        <f>ROUND(C133*D133,2)</f>
        <v>631670.76</v>
      </c>
      <c r="F133" s="137">
        <f t="shared" ref="F133" si="40">ROUND(E133*0.18,2)</f>
        <v>113700.74</v>
      </c>
      <c r="G133" s="137">
        <f t="shared" ref="G133" si="41">ROUND(E133+F133,2)</f>
        <v>745371.5</v>
      </c>
      <c r="I133" s="81"/>
    </row>
    <row r="134" spans="1:11">
      <c r="A134" s="129"/>
      <c r="B134" s="129"/>
      <c r="C134" s="129"/>
      <c r="D134" s="129"/>
      <c r="E134" s="129"/>
      <c r="F134" s="129"/>
      <c r="G134" s="129"/>
    </row>
    <row r="135" spans="1:11">
      <c r="A135" s="129"/>
      <c r="B135" s="129"/>
      <c r="C135" s="129"/>
      <c r="D135" s="129" t="s">
        <v>58</v>
      </c>
      <c r="E135" s="138">
        <f>E131/C131</f>
        <v>3.6353059083360892</v>
      </c>
      <c r="F135" s="129"/>
      <c r="G135" s="129"/>
    </row>
    <row r="136" spans="1:11">
      <c r="A136" s="129"/>
      <c r="B136" s="129"/>
      <c r="C136" s="129"/>
      <c r="D136" s="129" t="s">
        <v>59</v>
      </c>
      <c r="E136" s="138">
        <f>E132/C132</f>
        <v>3.6353050730230647</v>
      </c>
      <c r="F136" s="129"/>
      <c r="G136" s="129"/>
    </row>
    <row r="137" spans="1:11" s="95" customFormat="1" ht="32.25" thickBot="1">
      <c r="A137" s="168" t="s">
        <v>90</v>
      </c>
      <c r="B137" s="168"/>
      <c r="C137" s="168"/>
      <c r="D137" s="168"/>
      <c r="E137" s="168"/>
      <c r="F137" s="168"/>
      <c r="G137" s="168"/>
    </row>
    <row r="138" spans="1:11" ht="15.75" thickBot="1">
      <c r="A138" s="53"/>
      <c r="B138" s="54"/>
      <c r="C138" s="55" t="s">
        <v>32</v>
      </c>
      <c r="D138" s="55" t="s">
        <v>25</v>
      </c>
      <c r="E138" s="55" t="s">
        <v>26</v>
      </c>
      <c r="F138" s="55" t="s">
        <v>27</v>
      </c>
      <c r="G138" s="56" t="s">
        <v>28</v>
      </c>
      <c r="H138" s="88"/>
      <c r="I138" s="74"/>
      <c r="K138" s="74"/>
    </row>
    <row r="139" spans="1:11">
      <c r="A139" s="160" t="s">
        <v>3</v>
      </c>
      <c r="B139" s="58" t="s">
        <v>31</v>
      </c>
      <c r="C139" s="66">
        <v>92872</v>
      </c>
      <c r="D139" s="65">
        <v>3.57592</v>
      </c>
      <c r="E139" s="60">
        <f>ROUND(C139*D139,2)</f>
        <v>332102.84000000003</v>
      </c>
      <c r="F139" s="60">
        <f>ROUND(E139*0.18,2)</f>
        <v>59778.51</v>
      </c>
      <c r="G139" s="60">
        <f>ROUND(E139+F139,2)</f>
        <v>391881.35</v>
      </c>
      <c r="I139" s="81"/>
    </row>
    <row r="140" spans="1:11" ht="15.75" thickBot="1">
      <c r="A140" s="161"/>
      <c r="B140" s="98" t="s">
        <v>31</v>
      </c>
      <c r="C140" s="99">
        <v>98688</v>
      </c>
      <c r="D140" s="100">
        <v>3.5792199999999998</v>
      </c>
      <c r="E140" s="101">
        <f>ROUND(C140*D140,2)</f>
        <v>353226.06</v>
      </c>
      <c r="F140" s="101">
        <f t="shared" ref="F140:F147" si="42">ROUND(E140*0.18,2)</f>
        <v>63580.69</v>
      </c>
      <c r="G140" s="101">
        <f>ROUND(E140+F140,2)</f>
        <v>416806.75</v>
      </c>
      <c r="I140" s="81"/>
    </row>
    <row r="141" spans="1:11">
      <c r="B141" s="98" t="s">
        <v>31</v>
      </c>
      <c r="C141" s="99">
        <v>129051</v>
      </c>
      <c r="D141" s="100">
        <v>3.5822400000000001</v>
      </c>
      <c r="E141" s="101">
        <f>ROUND(C141*D141,2)</f>
        <v>462291.65</v>
      </c>
      <c r="F141" s="101">
        <f t="shared" si="42"/>
        <v>83212.5</v>
      </c>
      <c r="G141" s="101">
        <f t="shared" ref="G141:G147" si="43">ROUND(E141+F141,2)</f>
        <v>545504.15</v>
      </c>
      <c r="I141" s="81"/>
    </row>
    <row r="142" spans="1:11">
      <c r="B142" s="98" t="s">
        <v>31</v>
      </c>
      <c r="C142" s="99">
        <v>86640</v>
      </c>
      <c r="D142" s="100">
        <v>3.6266799999999999</v>
      </c>
      <c r="E142" s="101">
        <f t="shared" ref="E142:E145" si="44">ROUND(C142*D142,2)</f>
        <v>314215.56</v>
      </c>
      <c r="F142" s="101">
        <f t="shared" si="42"/>
        <v>56558.8</v>
      </c>
      <c r="G142" s="101">
        <f t="shared" si="43"/>
        <v>370774.36</v>
      </c>
      <c r="I142" s="81"/>
    </row>
    <row r="143" spans="1:11">
      <c r="B143" s="98" t="s">
        <v>31</v>
      </c>
      <c r="C143" s="99">
        <v>54355</v>
      </c>
      <c r="D143" s="100">
        <v>3.6601300000000001</v>
      </c>
      <c r="E143" s="101">
        <f t="shared" si="44"/>
        <v>198946.37</v>
      </c>
      <c r="F143" s="101">
        <f t="shared" si="42"/>
        <v>35810.35</v>
      </c>
      <c r="G143" s="101">
        <f t="shared" si="43"/>
        <v>234756.72</v>
      </c>
      <c r="I143" s="81"/>
    </row>
    <row r="144" spans="1:11">
      <c r="B144" s="98" t="s">
        <v>31</v>
      </c>
      <c r="C144" s="99">
        <v>6876</v>
      </c>
      <c r="D144" s="100">
        <v>3.67361</v>
      </c>
      <c r="E144" s="101">
        <f t="shared" si="44"/>
        <v>25259.74</v>
      </c>
      <c r="F144" s="101">
        <f t="shared" si="42"/>
        <v>4546.75</v>
      </c>
      <c r="G144" s="101">
        <f t="shared" si="43"/>
        <v>29806.49</v>
      </c>
      <c r="I144" s="81"/>
    </row>
    <row r="145" spans="1:11">
      <c r="B145" s="98" t="s">
        <v>31</v>
      </c>
      <c r="C145" s="99">
        <v>34045</v>
      </c>
      <c r="D145" s="100">
        <v>3.7398500000000001</v>
      </c>
      <c r="E145" s="101">
        <f t="shared" si="44"/>
        <v>127323.19</v>
      </c>
      <c r="F145" s="101">
        <f t="shared" si="42"/>
        <v>22918.17</v>
      </c>
      <c r="G145" s="101">
        <f t="shared" si="43"/>
        <v>150241.35999999999</v>
      </c>
      <c r="I145" s="81"/>
    </row>
    <row r="146" spans="1:11">
      <c r="B146" s="98" t="s">
        <v>31</v>
      </c>
      <c r="C146" s="99">
        <v>33399</v>
      </c>
      <c r="D146" s="100">
        <v>3.7703799999999998</v>
      </c>
      <c r="E146" s="101">
        <f>ROUND(C146*D146,2)</f>
        <v>125926.92</v>
      </c>
      <c r="F146" s="101">
        <f t="shared" si="42"/>
        <v>22666.85</v>
      </c>
      <c r="G146" s="101">
        <f t="shared" si="43"/>
        <v>148593.76999999999</v>
      </c>
      <c r="I146" s="81"/>
    </row>
    <row r="147" spans="1:11" ht="15.75" thickBot="1">
      <c r="B147" s="61" t="s">
        <v>31</v>
      </c>
      <c r="C147" s="67">
        <v>62652</v>
      </c>
      <c r="D147" s="64">
        <v>3.7783600000000002</v>
      </c>
      <c r="E147" s="63">
        <f>ROUND(C147*D147,2)</f>
        <v>236721.81</v>
      </c>
      <c r="F147" s="63">
        <f t="shared" si="42"/>
        <v>42609.93</v>
      </c>
      <c r="G147" s="63">
        <f t="shared" si="43"/>
        <v>279331.74</v>
      </c>
      <c r="I147" s="81"/>
    </row>
    <row r="148" spans="1:11">
      <c r="B148" t="s">
        <v>58</v>
      </c>
      <c r="C148" s="85">
        <f>SUM(C139:C147)</f>
        <v>598578</v>
      </c>
      <c r="D148" s="86">
        <f>E148/C148</f>
        <v>3.6353059083360892</v>
      </c>
      <c r="E148" s="87">
        <f>SUM(E139:E147)</f>
        <v>2176014.1399999997</v>
      </c>
      <c r="F148" s="87">
        <f>ROUND(E148*0.18,2)</f>
        <v>391682.55</v>
      </c>
      <c r="G148" s="87">
        <f>ROUND(E148+F148,2)</f>
        <v>2567696.69</v>
      </c>
      <c r="I148" s="81"/>
    </row>
    <row r="149" spans="1:11" ht="15.75" thickBot="1">
      <c r="B149" t="s">
        <v>59</v>
      </c>
      <c r="C149" s="82">
        <v>598578</v>
      </c>
      <c r="D149" s="83">
        <v>3.63531</v>
      </c>
      <c r="E149" s="84">
        <v>2176013.64</v>
      </c>
      <c r="F149" s="84">
        <f>505383.2-113700.74</f>
        <v>391682.46</v>
      </c>
      <c r="G149" s="84">
        <f>E149+F149</f>
        <v>2567696.1</v>
      </c>
      <c r="I149" s="81"/>
    </row>
    <row r="150" spans="1:11" ht="15.75" thickBot="1">
      <c r="B150" s="102" t="s">
        <v>33</v>
      </c>
      <c r="C150" s="103">
        <v>1274</v>
      </c>
      <c r="D150" s="104">
        <v>495.81691999999998</v>
      </c>
      <c r="E150" s="109">
        <f>ROUND(C150*D150,2)</f>
        <v>631670.76</v>
      </c>
      <c r="F150" s="106">
        <f t="shared" ref="F150" si="45">ROUND(E150*0.18,2)</f>
        <v>113700.74</v>
      </c>
      <c r="G150" s="106">
        <f t="shared" ref="G150" si="46">ROUND(E150+F150,2)</f>
        <v>745371.5</v>
      </c>
      <c r="I150" s="81"/>
    </row>
    <row r="152" spans="1:11">
      <c r="D152" t="s">
        <v>58</v>
      </c>
      <c r="E152" s="89">
        <f>E148/C148</f>
        <v>3.6353059083360892</v>
      </c>
    </row>
    <row r="153" spans="1:11">
      <c r="D153" t="s">
        <v>59</v>
      </c>
      <c r="E153" s="89">
        <f>E149/C149</f>
        <v>3.6353050730230647</v>
      </c>
    </row>
    <row r="154" spans="1:11" s="95" customFormat="1" ht="32.25" thickBot="1">
      <c r="A154" s="168" t="s">
        <v>91</v>
      </c>
      <c r="B154" s="168"/>
      <c r="C154" s="168"/>
      <c r="D154" s="168"/>
      <c r="E154" s="168"/>
      <c r="F154" s="168"/>
      <c r="G154" s="168"/>
    </row>
    <row r="155" spans="1:11" ht="15.75" thickBot="1">
      <c r="A155" s="53"/>
      <c r="B155" s="54"/>
      <c r="C155" s="55" t="s">
        <v>32</v>
      </c>
      <c r="D155" s="55" t="s">
        <v>25</v>
      </c>
      <c r="E155" s="55" t="s">
        <v>26</v>
      </c>
      <c r="F155" s="55" t="s">
        <v>27</v>
      </c>
      <c r="G155" s="56" t="s">
        <v>28</v>
      </c>
      <c r="H155" s="88"/>
      <c r="I155" s="74"/>
      <c r="K155" s="74"/>
    </row>
    <row r="156" spans="1:11">
      <c r="A156" s="169" t="s">
        <v>2</v>
      </c>
      <c r="B156" s="58" t="s">
        <v>31</v>
      </c>
      <c r="C156" s="66">
        <v>99684</v>
      </c>
      <c r="D156" s="65">
        <v>3.63767</v>
      </c>
      <c r="E156" s="60">
        <f>ROUND(C156*D156,2)</f>
        <v>362617.5</v>
      </c>
      <c r="F156" s="60">
        <f>ROUND(E156*0.18,2)</f>
        <v>65271.15</v>
      </c>
      <c r="G156" s="60">
        <f>ROUND(E156+F156,2)</f>
        <v>427888.65</v>
      </c>
      <c r="I156" s="81"/>
    </row>
    <row r="157" spans="1:11" ht="15.75" thickBot="1">
      <c r="A157" s="170"/>
      <c r="B157" s="98" t="s">
        <v>31</v>
      </c>
      <c r="C157" s="99">
        <v>197078</v>
      </c>
      <c r="D157" s="100">
        <v>3.6518999999999999</v>
      </c>
      <c r="E157" s="101">
        <f>ROUND(C157*D157,2)</f>
        <v>719709.15</v>
      </c>
      <c r="F157" s="101">
        <f t="shared" ref="F157:F164" si="47">ROUND(E157*0.18,2)</f>
        <v>129547.65</v>
      </c>
      <c r="G157" s="101">
        <f>ROUND(E157+F157,2)</f>
        <v>849256.8</v>
      </c>
      <c r="I157" s="81"/>
    </row>
    <row r="158" spans="1:11">
      <c r="B158" s="98" t="s">
        <v>31</v>
      </c>
      <c r="C158" s="99">
        <v>95956</v>
      </c>
      <c r="D158" s="100">
        <v>3.6546799999999999</v>
      </c>
      <c r="E158" s="101">
        <f>ROUND(C158*D158,2)</f>
        <v>350688.47</v>
      </c>
      <c r="F158" s="101">
        <f t="shared" si="47"/>
        <v>63123.92</v>
      </c>
      <c r="G158" s="101">
        <f t="shared" ref="G158:G164" si="48">ROUND(E158+F158,2)</f>
        <v>413812.39</v>
      </c>
      <c r="I158" s="81"/>
    </row>
    <row r="159" spans="1:11">
      <c r="B159" s="98" t="s">
        <v>31</v>
      </c>
      <c r="C159" s="99">
        <v>14619</v>
      </c>
      <c r="D159" s="100">
        <v>3.66954</v>
      </c>
      <c r="E159" s="101">
        <f t="shared" ref="E159:E162" si="49">ROUND(C159*D159,2)</f>
        <v>53645.01</v>
      </c>
      <c r="F159" s="101">
        <f t="shared" si="47"/>
        <v>9656.1</v>
      </c>
      <c r="G159" s="101">
        <f t="shared" si="48"/>
        <v>63301.11</v>
      </c>
      <c r="I159" s="81"/>
    </row>
    <row r="160" spans="1:11">
      <c r="B160" s="98" t="s">
        <v>31</v>
      </c>
      <c r="C160" s="99">
        <v>73244</v>
      </c>
      <c r="D160" s="100">
        <v>3.6882899999999998</v>
      </c>
      <c r="E160" s="101">
        <f t="shared" si="49"/>
        <v>270145.11</v>
      </c>
      <c r="F160" s="101">
        <f t="shared" si="47"/>
        <v>48626.12</v>
      </c>
      <c r="G160" s="101">
        <f t="shared" si="48"/>
        <v>318771.23</v>
      </c>
      <c r="I160" s="81"/>
    </row>
    <row r="161" spans="1:11">
      <c r="B161" s="98" t="s">
        <v>31</v>
      </c>
      <c r="C161" s="99">
        <v>93900</v>
      </c>
      <c r="D161" s="100">
        <v>3.70167</v>
      </c>
      <c r="E161" s="101">
        <f t="shared" si="49"/>
        <v>347586.81</v>
      </c>
      <c r="F161" s="101">
        <f t="shared" si="47"/>
        <v>62565.63</v>
      </c>
      <c r="G161" s="101">
        <f t="shared" si="48"/>
        <v>410152.44</v>
      </c>
      <c r="I161" s="81"/>
    </row>
    <row r="162" spans="1:11">
      <c r="B162" s="98" t="s">
        <v>31</v>
      </c>
      <c r="C162" s="99">
        <v>65085</v>
      </c>
      <c r="D162" s="100">
        <v>3.7160199999999999</v>
      </c>
      <c r="E162" s="101">
        <f t="shared" si="49"/>
        <v>241857.16</v>
      </c>
      <c r="F162" s="101">
        <f t="shared" si="47"/>
        <v>43534.29</v>
      </c>
      <c r="G162" s="101">
        <f t="shared" si="48"/>
        <v>285391.45</v>
      </c>
      <c r="I162" s="81"/>
    </row>
    <row r="163" spans="1:11">
      <c r="B163" s="98" t="s">
        <v>31</v>
      </c>
      <c r="C163" s="99">
        <v>30798</v>
      </c>
      <c r="D163" s="100">
        <v>3.8682699999999999</v>
      </c>
      <c r="E163" s="101">
        <f>ROUND(C163*D163,2)</f>
        <v>119134.98</v>
      </c>
      <c r="F163" s="101">
        <f t="shared" si="47"/>
        <v>21444.3</v>
      </c>
      <c r="G163" s="101">
        <f t="shared" si="48"/>
        <v>140579.28</v>
      </c>
      <c r="I163" s="81"/>
    </row>
    <row r="164" spans="1:11" ht="15.75" thickBot="1">
      <c r="B164" s="61" t="s">
        <v>31</v>
      </c>
      <c r="C164" s="67">
        <v>54096</v>
      </c>
      <c r="D164" s="64">
        <v>3.9002400000000002</v>
      </c>
      <c r="E164" s="63">
        <f>ROUND(C164*D164,2)</f>
        <v>210987.38</v>
      </c>
      <c r="F164" s="63">
        <f t="shared" si="47"/>
        <v>37977.730000000003</v>
      </c>
      <c r="G164" s="63">
        <f t="shared" si="48"/>
        <v>248965.11</v>
      </c>
      <c r="I164" s="81"/>
    </row>
    <row r="165" spans="1:11">
      <c r="B165" t="s">
        <v>58</v>
      </c>
      <c r="C165" s="85">
        <f>SUM(C156:C164)</f>
        <v>724460</v>
      </c>
      <c r="D165" s="86">
        <f>E165/C165</f>
        <v>3.694298608618833</v>
      </c>
      <c r="E165" s="87">
        <f>SUM(E156:E164)</f>
        <v>2676371.5699999998</v>
      </c>
      <c r="F165" s="87">
        <f>ROUND(E165*0.18,2)</f>
        <v>481746.88</v>
      </c>
      <c r="G165" s="87">
        <f>ROUND(E165+F165,2)</f>
        <v>3158118.45</v>
      </c>
      <c r="I165" s="81"/>
    </row>
    <row r="166" spans="1:11" ht="15.75" thickBot="1">
      <c r="B166" t="s">
        <v>59</v>
      </c>
      <c r="C166" s="82">
        <v>724460</v>
      </c>
      <c r="D166" s="83">
        <v>3.6943000000000001</v>
      </c>
      <c r="E166" s="84">
        <v>2676370.81</v>
      </c>
      <c r="F166" s="84">
        <f>611148.03-129401.28</f>
        <v>481746.75</v>
      </c>
      <c r="G166" s="84">
        <f>E166+F166</f>
        <v>3158117.56</v>
      </c>
      <c r="I166" s="81"/>
    </row>
    <row r="167" spans="1:11" ht="15.75" thickBot="1">
      <c r="B167" s="102" t="s">
        <v>33</v>
      </c>
      <c r="C167" s="103">
        <v>1041</v>
      </c>
      <c r="D167" s="104">
        <v>690.58210999999994</v>
      </c>
      <c r="E167" s="109">
        <f>ROUND(C167*D167,2)</f>
        <v>718895.98</v>
      </c>
      <c r="F167" s="106">
        <f t="shared" ref="F167" si="50">ROUND(E167*0.18,2)</f>
        <v>129401.28</v>
      </c>
      <c r="G167" s="106">
        <f t="shared" ref="G167" si="51">ROUND(E167+F167,2)</f>
        <v>848297.26</v>
      </c>
      <c r="I167" s="81"/>
    </row>
    <row r="169" spans="1:11">
      <c r="D169" t="s">
        <v>58</v>
      </c>
      <c r="E169" s="89">
        <f>E165/C165</f>
        <v>3.694298608618833</v>
      </c>
    </row>
    <row r="170" spans="1:11">
      <c r="D170" t="s">
        <v>59</v>
      </c>
      <c r="E170" s="89">
        <f>E166/C166</f>
        <v>3.6942975595616048</v>
      </c>
    </row>
    <row r="171" spans="1:11" s="95" customFormat="1" ht="32.25" thickBot="1">
      <c r="A171" s="168" t="s">
        <v>86</v>
      </c>
      <c r="B171" s="168"/>
      <c r="C171" s="168"/>
      <c r="D171" s="168"/>
      <c r="E171" s="168"/>
      <c r="F171" s="168"/>
      <c r="G171" s="168"/>
    </row>
    <row r="172" spans="1:11" ht="15.75" thickBot="1">
      <c r="A172" s="53"/>
      <c r="B172" s="54"/>
      <c r="C172" s="55" t="s">
        <v>32</v>
      </c>
      <c r="D172" s="55" t="s">
        <v>25</v>
      </c>
      <c r="E172" s="55" t="s">
        <v>26</v>
      </c>
      <c r="F172" s="55" t="s">
        <v>27</v>
      </c>
      <c r="G172" s="56" t="s">
        <v>28</v>
      </c>
      <c r="H172" s="88"/>
      <c r="I172" s="74"/>
      <c r="K172" s="74"/>
    </row>
    <row r="173" spans="1:11">
      <c r="A173" s="169" t="s">
        <v>1</v>
      </c>
      <c r="B173" s="58" t="s">
        <v>31</v>
      </c>
      <c r="C173" s="66">
        <v>182449</v>
      </c>
      <c r="D173" s="65">
        <v>3.7041599999999999</v>
      </c>
      <c r="E173" s="60">
        <f>ROUND(C173*D173,2)</f>
        <v>675820.29</v>
      </c>
      <c r="F173" s="60">
        <f>ROUND(E173*0.18,2)</f>
        <v>121647.65</v>
      </c>
      <c r="G173" s="60">
        <f>ROUND(E173+F173,2)</f>
        <v>797467.94</v>
      </c>
      <c r="I173" s="81"/>
    </row>
    <row r="174" spans="1:11" ht="15.75" thickBot="1">
      <c r="A174" s="170"/>
      <c r="B174" s="98" t="s">
        <v>31</v>
      </c>
      <c r="C174" s="99">
        <v>58440</v>
      </c>
      <c r="D174" s="100">
        <v>3.7047500000000002</v>
      </c>
      <c r="E174" s="101">
        <f>ROUND(C174*D174,2)</f>
        <v>216505.59</v>
      </c>
      <c r="F174" s="101">
        <f t="shared" ref="F174:F181" si="52">ROUND(E174*0.18,2)</f>
        <v>38971.01</v>
      </c>
      <c r="G174" s="101">
        <f>ROUND(E174+F174,2)</f>
        <v>255476.6</v>
      </c>
      <c r="I174" s="81"/>
    </row>
    <row r="175" spans="1:11">
      <c r="B175" s="98" t="s">
        <v>31</v>
      </c>
      <c r="C175" s="99">
        <v>102111</v>
      </c>
      <c r="D175" s="100">
        <v>3.7142900000000001</v>
      </c>
      <c r="E175" s="101">
        <f>ROUND(C175*D175,2)</f>
        <v>379269.87</v>
      </c>
      <c r="F175" s="101">
        <f t="shared" si="52"/>
        <v>68268.58</v>
      </c>
      <c r="G175" s="101">
        <f t="shared" ref="G175:G181" si="53">ROUND(E175+F175,2)</f>
        <v>447538.45</v>
      </c>
      <c r="I175" s="81"/>
    </row>
    <row r="176" spans="1:11">
      <c r="B176" s="98" t="s">
        <v>31</v>
      </c>
      <c r="C176" s="99">
        <v>98990</v>
      </c>
      <c r="D176" s="100">
        <v>3.7254</v>
      </c>
      <c r="E176" s="101">
        <f t="shared" ref="E176:E179" si="54">ROUND(C176*D176,2)</f>
        <v>368777.35</v>
      </c>
      <c r="F176" s="101">
        <f t="shared" si="52"/>
        <v>66379.92</v>
      </c>
      <c r="G176" s="101">
        <f t="shared" si="53"/>
        <v>435157.27</v>
      </c>
      <c r="I176" s="81"/>
    </row>
    <row r="177" spans="1:11">
      <c r="B177" s="98" t="s">
        <v>31</v>
      </c>
      <c r="C177" s="99">
        <v>81308</v>
      </c>
      <c r="D177" s="100">
        <v>3.7348599999999998</v>
      </c>
      <c r="E177" s="101">
        <f t="shared" si="54"/>
        <v>303674</v>
      </c>
      <c r="F177" s="101">
        <f t="shared" si="52"/>
        <v>54661.32</v>
      </c>
      <c r="G177" s="101">
        <f t="shared" si="53"/>
        <v>358335.32</v>
      </c>
      <c r="I177" s="81"/>
    </row>
    <row r="178" spans="1:11">
      <c r="B178" s="98" t="s">
        <v>31</v>
      </c>
      <c r="C178" s="99">
        <v>90735</v>
      </c>
      <c r="D178" s="100">
        <v>3.76403</v>
      </c>
      <c r="E178" s="101">
        <f t="shared" si="54"/>
        <v>341529.26</v>
      </c>
      <c r="F178" s="101">
        <f t="shared" si="52"/>
        <v>61475.27</v>
      </c>
      <c r="G178" s="101">
        <f t="shared" si="53"/>
        <v>403004.53</v>
      </c>
      <c r="I178" s="81"/>
    </row>
    <row r="179" spans="1:11">
      <c r="B179" s="98" t="s">
        <v>31</v>
      </c>
      <c r="C179" s="99">
        <v>44543</v>
      </c>
      <c r="D179" s="100">
        <v>3.8425400000000001</v>
      </c>
      <c r="E179" s="101">
        <f t="shared" si="54"/>
        <v>171158.26</v>
      </c>
      <c r="F179" s="101">
        <f t="shared" si="52"/>
        <v>30808.49</v>
      </c>
      <c r="G179" s="101">
        <f t="shared" si="53"/>
        <v>201966.75</v>
      </c>
      <c r="I179" s="81"/>
    </row>
    <row r="180" spans="1:11">
      <c r="B180" s="98" t="s">
        <v>31</v>
      </c>
      <c r="C180" s="99">
        <v>27108</v>
      </c>
      <c r="D180" s="100">
        <v>3.8912300000000002</v>
      </c>
      <c r="E180" s="101">
        <f>ROUND(C180*D180,2)</f>
        <v>105483.46</v>
      </c>
      <c r="F180" s="101">
        <f t="shared" si="52"/>
        <v>18987.02</v>
      </c>
      <c r="G180" s="101">
        <f t="shared" si="53"/>
        <v>124470.48</v>
      </c>
      <c r="I180" s="81"/>
    </row>
    <row r="181" spans="1:11" ht="15.75" thickBot="1">
      <c r="B181" s="61" t="s">
        <v>31</v>
      </c>
      <c r="C181" s="67">
        <v>52129</v>
      </c>
      <c r="D181" s="64">
        <v>3.94279</v>
      </c>
      <c r="E181" s="63">
        <f>ROUND(C181*D181,2)</f>
        <v>205533.7</v>
      </c>
      <c r="F181" s="63">
        <f t="shared" si="52"/>
        <v>36996.07</v>
      </c>
      <c r="G181" s="63">
        <f t="shared" si="53"/>
        <v>242529.77</v>
      </c>
      <c r="I181" s="81"/>
    </row>
    <row r="182" spans="1:11">
      <c r="B182" t="s">
        <v>58</v>
      </c>
      <c r="C182" s="85">
        <f>SUM(C173:C181)</f>
        <v>737813</v>
      </c>
      <c r="D182" s="86">
        <f>E182/C182</f>
        <v>3.7512916958633151</v>
      </c>
      <c r="E182" s="87">
        <f>SUM(E173:E181)</f>
        <v>2767751.7800000003</v>
      </c>
      <c r="F182" s="87">
        <f>ROUND(E182*0.18,2)</f>
        <v>498195.32</v>
      </c>
      <c r="G182" s="87">
        <f>ROUND(E182+F182,2)</f>
        <v>3265947.1</v>
      </c>
      <c r="I182" s="81"/>
    </row>
    <row r="183" spans="1:11" ht="15.75" thickBot="1">
      <c r="B183" t="s">
        <v>59</v>
      </c>
      <c r="C183" s="82">
        <v>737813</v>
      </c>
      <c r="D183" s="83">
        <v>3.75129</v>
      </c>
      <c r="E183" s="84">
        <v>2767753.66</v>
      </c>
      <c r="F183" s="84">
        <f>614354.45-116158.79</f>
        <v>498195.66</v>
      </c>
      <c r="G183" s="84">
        <f>E183+F183</f>
        <v>3265949.3200000003</v>
      </c>
      <c r="I183" s="81"/>
    </row>
    <row r="184" spans="1:11" ht="15.75" thickBot="1">
      <c r="B184" s="102" t="s">
        <v>33</v>
      </c>
      <c r="C184" s="103">
        <v>1152</v>
      </c>
      <c r="D184" s="104">
        <v>560.17935999999997</v>
      </c>
      <c r="E184" s="109">
        <v>645326.61</v>
      </c>
      <c r="F184" s="106">
        <f t="shared" ref="F184" si="55">ROUND(E184*0.18,2)</f>
        <v>116158.79</v>
      </c>
      <c r="G184" s="106">
        <f t="shared" ref="G184" si="56">ROUND(E184+F184,2)</f>
        <v>761485.4</v>
      </c>
      <c r="I184" s="81"/>
    </row>
    <row r="186" spans="1:11">
      <c r="D186" t="s">
        <v>58</v>
      </c>
      <c r="E186" s="89">
        <f>E182/C182</f>
        <v>3.7512916958633151</v>
      </c>
    </row>
    <row r="187" spans="1:11">
      <c r="D187" t="s">
        <v>59</v>
      </c>
      <c r="E187" s="89">
        <f>E183/C183</f>
        <v>3.751294243934439</v>
      </c>
    </row>
    <row r="188" spans="1:11" s="95" customFormat="1" ht="32.25" thickBot="1">
      <c r="A188" s="168" t="s">
        <v>83</v>
      </c>
      <c r="B188" s="168"/>
      <c r="C188" s="168"/>
      <c r="D188" s="168"/>
      <c r="E188" s="168"/>
      <c r="F188" s="168"/>
      <c r="G188" s="168"/>
    </row>
    <row r="189" spans="1:11" ht="15.75" thickBot="1">
      <c r="A189" s="53"/>
      <c r="B189" s="54"/>
      <c r="C189" s="55" t="s">
        <v>32</v>
      </c>
      <c r="D189" s="55" t="s">
        <v>25</v>
      </c>
      <c r="E189" s="55" t="s">
        <v>26</v>
      </c>
      <c r="F189" s="55" t="s">
        <v>27</v>
      </c>
      <c r="G189" s="56" t="s">
        <v>28</v>
      </c>
      <c r="H189" s="88"/>
      <c r="I189" s="74"/>
      <c r="K189" s="74"/>
    </row>
    <row r="190" spans="1:11">
      <c r="A190" s="169" t="s">
        <v>0</v>
      </c>
      <c r="B190" s="58" t="s">
        <v>31</v>
      </c>
      <c r="C190" s="66">
        <v>199087</v>
      </c>
      <c r="D190" s="65">
        <v>3.7185100000000002</v>
      </c>
      <c r="E190" s="60">
        <f>ROUND(C190*D190,2)</f>
        <v>740307</v>
      </c>
      <c r="F190" s="60">
        <f>ROUND(E190*0.18,2)</f>
        <v>133255.26</v>
      </c>
      <c r="G190" s="60">
        <f>ROUND(E190+F190,2)</f>
        <v>873562.26</v>
      </c>
      <c r="I190" s="81"/>
    </row>
    <row r="191" spans="1:11" ht="15.75" thickBot="1">
      <c r="A191" s="170"/>
      <c r="B191" s="98" t="s">
        <v>31</v>
      </c>
      <c r="C191" s="99">
        <v>95923</v>
      </c>
      <c r="D191" s="100">
        <v>3.7220300000000002</v>
      </c>
      <c r="E191" s="101">
        <f>ROUND(C191*D191,2)</f>
        <v>357028.28</v>
      </c>
      <c r="F191" s="101">
        <f t="shared" ref="F191:F198" si="57">ROUND(E191*0.18,2)</f>
        <v>64265.09</v>
      </c>
      <c r="G191" s="101">
        <f>ROUND(E191+F191,2)</f>
        <v>421293.37</v>
      </c>
      <c r="I191" s="81"/>
    </row>
    <row r="192" spans="1:11">
      <c r="B192" s="98" t="s">
        <v>31</v>
      </c>
      <c r="C192" s="99">
        <v>104649</v>
      </c>
      <c r="D192" s="100">
        <v>3.72532</v>
      </c>
      <c r="E192" s="101">
        <f>ROUND(C192*D192,2)</f>
        <v>389851.01</v>
      </c>
      <c r="F192" s="101">
        <f t="shared" si="57"/>
        <v>70173.179999999993</v>
      </c>
      <c r="G192" s="101">
        <f t="shared" ref="G192:G198" si="58">ROUND(E192+F192,2)</f>
        <v>460024.19</v>
      </c>
      <c r="I192" s="81"/>
    </row>
    <row r="193" spans="1:11">
      <c r="B193" s="98" t="s">
        <v>31</v>
      </c>
      <c r="C193" s="99">
        <v>37917</v>
      </c>
      <c r="D193" s="100">
        <v>3.73509</v>
      </c>
      <c r="E193" s="101">
        <f t="shared" ref="E193:E196" si="59">ROUND(C193*D193,2)</f>
        <v>141623.41</v>
      </c>
      <c r="F193" s="101">
        <f t="shared" si="57"/>
        <v>25492.21</v>
      </c>
      <c r="G193" s="101">
        <f t="shared" si="58"/>
        <v>167115.62</v>
      </c>
      <c r="I193" s="81"/>
    </row>
    <row r="194" spans="1:11">
      <c r="B194" s="98" t="s">
        <v>31</v>
      </c>
      <c r="C194" s="99">
        <v>65540</v>
      </c>
      <c r="D194" s="100">
        <v>3.77149</v>
      </c>
      <c r="E194" s="101">
        <f t="shared" si="59"/>
        <v>247183.45</v>
      </c>
      <c r="F194" s="101">
        <f t="shared" si="57"/>
        <v>44493.02</v>
      </c>
      <c r="G194" s="101">
        <f t="shared" si="58"/>
        <v>291676.46999999997</v>
      </c>
      <c r="I194" s="81"/>
    </row>
    <row r="195" spans="1:11">
      <c r="B195" s="98" t="s">
        <v>31</v>
      </c>
      <c r="C195" s="99">
        <v>70464</v>
      </c>
      <c r="D195" s="100">
        <v>3.7961</v>
      </c>
      <c r="E195" s="101">
        <f t="shared" si="59"/>
        <v>267488.39</v>
      </c>
      <c r="F195" s="101">
        <f t="shared" si="57"/>
        <v>48147.91</v>
      </c>
      <c r="G195" s="101">
        <f t="shared" si="58"/>
        <v>315636.3</v>
      </c>
      <c r="I195" s="81"/>
    </row>
    <row r="196" spans="1:11">
      <c r="B196" s="98" t="s">
        <v>31</v>
      </c>
      <c r="C196" s="99">
        <v>49720</v>
      </c>
      <c r="D196" s="100">
        <v>3.8460399999999999</v>
      </c>
      <c r="E196" s="101">
        <f t="shared" si="59"/>
        <v>191225.11</v>
      </c>
      <c r="F196" s="101">
        <f t="shared" si="57"/>
        <v>34420.519999999997</v>
      </c>
      <c r="G196" s="101">
        <f t="shared" si="58"/>
        <v>225645.63</v>
      </c>
      <c r="I196" s="81"/>
    </row>
    <row r="197" spans="1:11">
      <c r="B197" s="98" t="s">
        <v>31</v>
      </c>
      <c r="C197" s="99">
        <v>21555</v>
      </c>
      <c r="D197" s="100">
        <v>4.0022000000000002</v>
      </c>
      <c r="E197" s="101">
        <f>ROUND(C197*D197,2)</f>
        <v>86267.42</v>
      </c>
      <c r="F197" s="101">
        <f t="shared" si="57"/>
        <v>15528.14</v>
      </c>
      <c r="G197" s="101">
        <f t="shared" si="58"/>
        <v>101795.56</v>
      </c>
      <c r="I197" s="81"/>
    </row>
    <row r="198" spans="1:11" ht="15.75" thickBot="1">
      <c r="B198" s="61" t="s">
        <v>31</v>
      </c>
      <c r="C198" s="67">
        <v>21734</v>
      </c>
      <c r="D198" s="64">
        <v>4.13286</v>
      </c>
      <c r="E198" s="63">
        <f>ROUND(C198*D198,2)</f>
        <v>89823.58</v>
      </c>
      <c r="F198" s="63">
        <f t="shared" si="57"/>
        <v>16168.24</v>
      </c>
      <c r="G198" s="63">
        <f t="shared" si="58"/>
        <v>105991.82</v>
      </c>
      <c r="I198" s="81"/>
    </row>
    <row r="199" spans="1:11">
      <c r="B199" t="s">
        <v>58</v>
      </c>
      <c r="C199" s="85">
        <f>SUM(C190:C198)</f>
        <v>666589</v>
      </c>
      <c r="D199" s="86">
        <f>E199/C199</f>
        <v>3.7666352880110532</v>
      </c>
      <c r="E199" s="87">
        <f>SUM(E190:E198)</f>
        <v>2510797.65</v>
      </c>
      <c r="F199" s="87">
        <f>ROUND(E199*0.18,2)</f>
        <v>451943.58</v>
      </c>
      <c r="G199" s="87">
        <f>ROUND(E199+F199,2)</f>
        <v>2962741.23</v>
      </c>
      <c r="I199" s="81"/>
    </row>
    <row r="200" spans="1:11" ht="15.75" thickBot="1">
      <c r="B200" t="s">
        <v>59</v>
      </c>
      <c r="C200" s="82">
        <v>666589</v>
      </c>
      <c r="D200" s="83">
        <v>3.7666400000000002</v>
      </c>
      <c r="E200" s="84">
        <v>2510798.02</v>
      </c>
      <c r="F200" s="84">
        <f>579478.63-127534.98</f>
        <v>451943.65</v>
      </c>
      <c r="G200" s="84">
        <f>3798804.31-836062.64</f>
        <v>2962741.67</v>
      </c>
      <c r="I200" s="81"/>
    </row>
    <row r="201" spans="1:11" ht="15.75" thickBot="1">
      <c r="B201" s="102" t="s">
        <v>33</v>
      </c>
      <c r="C201" s="103">
        <v>1166</v>
      </c>
      <c r="D201" s="104">
        <v>607.65665000000001</v>
      </c>
      <c r="E201" s="109">
        <f>ROUND(C201*D201,2)</f>
        <v>708527.65</v>
      </c>
      <c r="F201" s="106">
        <f t="shared" ref="F201" si="60">ROUND(E201*0.18,2)</f>
        <v>127534.98</v>
      </c>
      <c r="G201" s="106">
        <f t="shared" ref="G201" si="61">ROUND(E201+F201,2)</f>
        <v>836062.63</v>
      </c>
      <c r="I201" s="81"/>
    </row>
    <row r="203" spans="1:11">
      <c r="D203" t="s">
        <v>58</v>
      </c>
      <c r="E203" s="89">
        <f>E199/C199</f>
        <v>3.7666352880110532</v>
      </c>
    </row>
    <row r="204" spans="1:11">
      <c r="D204" t="s">
        <v>59</v>
      </c>
      <c r="E204" s="89">
        <f>E200/C200</f>
        <v>3.7666358430757185</v>
      </c>
    </row>
    <row r="205" spans="1:11" s="95" customFormat="1" ht="32.25" thickBot="1">
      <c r="A205" s="168" t="s">
        <v>78</v>
      </c>
      <c r="B205" s="168"/>
      <c r="C205" s="168"/>
      <c r="D205" s="168"/>
      <c r="E205" s="168"/>
      <c r="F205" s="168"/>
      <c r="G205" s="168"/>
    </row>
    <row r="206" spans="1:11" ht="15.75" thickBot="1">
      <c r="A206" s="53"/>
      <c r="B206" s="54"/>
      <c r="C206" s="55" t="s">
        <v>32</v>
      </c>
      <c r="D206" s="55" t="s">
        <v>25</v>
      </c>
      <c r="E206" s="55" t="s">
        <v>26</v>
      </c>
      <c r="F206" s="55" t="s">
        <v>27</v>
      </c>
      <c r="G206" s="56" t="s">
        <v>28</v>
      </c>
      <c r="H206" s="88"/>
      <c r="I206" s="74"/>
      <c r="K206" s="74"/>
    </row>
    <row r="207" spans="1:11">
      <c r="A207" s="169" t="s">
        <v>0</v>
      </c>
      <c r="B207" s="58" t="s">
        <v>31</v>
      </c>
      <c r="C207" s="66">
        <v>107328</v>
      </c>
      <c r="D207" s="65">
        <v>3.6210499999999999</v>
      </c>
      <c r="E207" s="60">
        <f>ROUND(C207*D207,2)</f>
        <v>388640.05</v>
      </c>
      <c r="F207" s="60">
        <f>ROUND(E207*0.18,2)</f>
        <v>69955.210000000006</v>
      </c>
      <c r="G207" s="60">
        <f>ROUND(E207+F207,2)</f>
        <v>458595.26</v>
      </c>
      <c r="I207" s="81"/>
    </row>
    <row r="208" spans="1:11" ht="15.75" thickBot="1">
      <c r="A208" s="170"/>
      <c r="B208" s="98" t="s">
        <v>31</v>
      </c>
      <c r="C208" s="99">
        <v>90396</v>
      </c>
      <c r="D208" s="100">
        <v>3.6307700000000001</v>
      </c>
      <c r="E208" s="101">
        <f>ROUND(C208*D208,2)</f>
        <v>328207.08</v>
      </c>
      <c r="F208" s="101">
        <f t="shared" ref="F208:F214" si="62">ROUND(E208*0.18,2)</f>
        <v>59077.27</v>
      </c>
      <c r="G208" s="101">
        <f>ROUND(E208+F208,2)</f>
        <v>387284.35</v>
      </c>
      <c r="I208" s="81"/>
    </row>
    <row r="209" spans="1:11">
      <c r="B209" s="98" t="s">
        <v>31</v>
      </c>
      <c r="C209" s="99">
        <v>104918</v>
      </c>
      <c r="D209" s="100">
        <v>3.63652</v>
      </c>
      <c r="E209" s="101">
        <f>ROUND(C209*D209,2)</f>
        <v>381536.41</v>
      </c>
      <c r="F209" s="101">
        <f t="shared" si="62"/>
        <v>68676.55</v>
      </c>
      <c r="G209" s="101">
        <f t="shared" ref="G209:G214" si="63">ROUND(E209+F209,2)</f>
        <v>450212.96</v>
      </c>
      <c r="I209" s="81"/>
    </row>
    <row r="210" spans="1:11">
      <c r="B210" s="98" t="s">
        <v>31</v>
      </c>
      <c r="C210" s="99">
        <v>211969</v>
      </c>
      <c r="D210" s="100">
        <v>3.6390500000000001</v>
      </c>
      <c r="E210" s="101">
        <f t="shared" ref="E210:E213" si="64">ROUND(C210*D210,2)</f>
        <v>771365.79</v>
      </c>
      <c r="F210" s="101">
        <f t="shared" si="62"/>
        <v>138845.84</v>
      </c>
      <c r="G210" s="101">
        <f t="shared" si="63"/>
        <v>910211.63</v>
      </c>
      <c r="I210" s="81"/>
    </row>
    <row r="211" spans="1:11">
      <c r="B211" s="98" t="s">
        <v>31</v>
      </c>
      <c r="C211" s="99">
        <v>105288</v>
      </c>
      <c r="D211" s="100">
        <v>3.6839400000000002</v>
      </c>
      <c r="E211" s="101">
        <f t="shared" si="64"/>
        <v>387874.67</v>
      </c>
      <c r="F211" s="101">
        <f t="shared" si="62"/>
        <v>69817.440000000002</v>
      </c>
      <c r="G211" s="101">
        <f t="shared" si="63"/>
        <v>457692.11</v>
      </c>
      <c r="I211" s="81"/>
    </row>
    <row r="212" spans="1:11">
      <c r="B212" s="98" t="s">
        <v>31</v>
      </c>
      <c r="C212" s="99">
        <v>12981</v>
      </c>
      <c r="D212" s="100">
        <v>3.7185700000000002</v>
      </c>
      <c r="E212" s="101">
        <f t="shared" si="64"/>
        <v>48270.76</v>
      </c>
      <c r="F212" s="101">
        <f t="shared" si="62"/>
        <v>8688.74</v>
      </c>
      <c r="G212" s="101">
        <f t="shared" si="63"/>
        <v>56959.5</v>
      </c>
      <c r="I212" s="81"/>
    </row>
    <row r="213" spans="1:11">
      <c r="B213" s="98" t="s">
        <v>31</v>
      </c>
      <c r="C213" s="99">
        <v>49395</v>
      </c>
      <c r="D213" s="100">
        <v>3.7525499999999998</v>
      </c>
      <c r="E213" s="101">
        <f t="shared" si="64"/>
        <v>185357.21</v>
      </c>
      <c r="F213" s="101">
        <f t="shared" si="62"/>
        <v>33364.300000000003</v>
      </c>
      <c r="G213" s="101">
        <f t="shared" si="63"/>
        <v>218721.51</v>
      </c>
      <c r="I213" s="81"/>
    </row>
    <row r="214" spans="1:11">
      <c r="B214" s="98" t="s">
        <v>31</v>
      </c>
      <c r="C214" s="99">
        <v>30129</v>
      </c>
      <c r="D214" s="100">
        <v>3.8519199999999998</v>
      </c>
      <c r="E214" s="101">
        <f>ROUND(C214*D214,2)</f>
        <v>116054.5</v>
      </c>
      <c r="F214" s="101">
        <f t="shared" si="62"/>
        <v>20889.810000000001</v>
      </c>
      <c r="G214" s="101">
        <f t="shared" si="63"/>
        <v>136944.31</v>
      </c>
      <c r="I214" s="81"/>
    </row>
    <row r="215" spans="1:11" ht="15.75" thickBot="1">
      <c r="B215" s="61" t="s">
        <v>31</v>
      </c>
      <c r="C215" s="67">
        <v>76330</v>
      </c>
      <c r="D215" s="64">
        <v>3.8736299999999999</v>
      </c>
      <c r="E215" s="63">
        <f>ROUND(C215*D215,2)</f>
        <v>295674.18</v>
      </c>
      <c r="F215" s="63">
        <f t="shared" ref="F215" si="65">ROUND(E215*0.18,2)</f>
        <v>53221.35</v>
      </c>
      <c r="G215" s="63">
        <f t="shared" ref="G215" si="66">ROUND(E215+F215,2)</f>
        <v>348895.53</v>
      </c>
      <c r="I215" s="81"/>
    </row>
    <row r="216" spans="1:11">
      <c r="B216" t="s">
        <v>58</v>
      </c>
      <c r="C216" s="85">
        <f>SUM(C207:C215)</f>
        <v>788734</v>
      </c>
      <c r="D216" s="86">
        <f>E216/C216</f>
        <v>3.6805572601155774</v>
      </c>
      <c r="E216" s="87">
        <f>SUM(E207:E215)</f>
        <v>2902980.65</v>
      </c>
      <c r="F216" s="87">
        <f>ROUND(E216*0.18,2)</f>
        <v>522536.52</v>
      </c>
      <c r="G216" s="87">
        <f>ROUND(E216+F216,2)</f>
        <v>3425517.17</v>
      </c>
      <c r="I216" s="81"/>
    </row>
    <row r="217" spans="1:11" ht="15.75" thickBot="1">
      <c r="B217" t="s">
        <v>59</v>
      </c>
      <c r="C217" s="82">
        <v>788734</v>
      </c>
      <c r="D217" s="83">
        <v>3.6805599999999998</v>
      </c>
      <c r="E217" s="84">
        <f>ROUND(C217*D217,2)</f>
        <v>2902982.81</v>
      </c>
      <c r="F217" s="84">
        <f>629702.63-107166.16</f>
        <v>522536.47</v>
      </c>
      <c r="G217" s="84">
        <f>E217+F217</f>
        <v>3425519.2800000003</v>
      </c>
      <c r="I217" s="81"/>
    </row>
    <row r="218" spans="1:11" ht="15.75" thickBot="1">
      <c r="B218" s="102" t="s">
        <v>33</v>
      </c>
      <c r="C218" s="103">
        <v>1053</v>
      </c>
      <c r="D218" s="104">
        <v>565.40125</v>
      </c>
      <c r="E218" s="109">
        <f>ROUND(C218*D218,2)</f>
        <v>595367.52</v>
      </c>
      <c r="F218" s="106">
        <f t="shared" ref="F218" si="67">ROUND(E218*0.18,2)</f>
        <v>107166.15</v>
      </c>
      <c r="G218" s="106">
        <f t="shared" ref="G218" si="68">ROUND(E218+F218,2)</f>
        <v>702533.67</v>
      </c>
      <c r="I218" s="81"/>
    </row>
    <row r="220" spans="1:11">
      <c r="D220" t="s">
        <v>58</v>
      </c>
      <c r="E220" s="89">
        <f>E216/C216</f>
        <v>3.6805572601155774</v>
      </c>
    </row>
    <row r="221" spans="1:11">
      <c r="D221" t="s">
        <v>59</v>
      </c>
      <c r="E221" s="89">
        <f>E217/C217</f>
        <v>3.6805599986814315</v>
      </c>
    </row>
    <row r="222" spans="1:11" s="95" customFormat="1" ht="32.25" thickBot="1">
      <c r="A222" s="168" t="s">
        <v>79</v>
      </c>
      <c r="B222" s="168"/>
      <c r="C222" s="168"/>
      <c r="D222" s="168"/>
      <c r="E222" s="168"/>
      <c r="F222" s="168"/>
      <c r="G222" s="168"/>
    </row>
    <row r="223" spans="1:11" ht="15.75" thickBot="1">
      <c r="A223" s="53"/>
      <c r="B223" s="54"/>
      <c r="C223" s="55" t="s">
        <v>32</v>
      </c>
      <c r="D223" s="55" t="s">
        <v>25</v>
      </c>
      <c r="E223" s="55" t="s">
        <v>26</v>
      </c>
      <c r="F223" s="55" t="s">
        <v>27</v>
      </c>
      <c r="G223" s="56" t="s">
        <v>28</v>
      </c>
      <c r="H223" s="88"/>
      <c r="I223" s="74"/>
      <c r="K223" s="74"/>
    </row>
    <row r="224" spans="1:11">
      <c r="A224" s="157" t="s">
        <v>0</v>
      </c>
      <c r="B224" s="58" t="s">
        <v>31</v>
      </c>
      <c r="C224" s="66">
        <v>88008</v>
      </c>
      <c r="D224" s="65">
        <v>3.7067899999999998</v>
      </c>
      <c r="E224" s="60">
        <f>ROUND(C224*D224,2)</f>
        <v>326227.17</v>
      </c>
      <c r="F224" s="60">
        <f>ROUND(E224*0.18,2)</f>
        <v>58720.89</v>
      </c>
      <c r="G224" s="60">
        <f>ROUND(E224+F224,2)</f>
        <v>384948.06</v>
      </c>
      <c r="I224" s="81"/>
    </row>
    <row r="225" spans="1:9" ht="15.75" thickBot="1">
      <c r="A225" s="158"/>
      <c r="B225" s="98" t="s">
        <v>31</v>
      </c>
      <c r="C225" s="99">
        <v>26898</v>
      </c>
      <c r="D225" s="100">
        <v>3.71407</v>
      </c>
      <c r="E225" s="101">
        <f>ROUND(C225*D225,2)</f>
        <v>99901.05</v>
      </c>
      <c r="F225" s="101">
        <f t="shared" ref="F225:F231" si="69">ROUND(E225*0.18,2)</f>
        <v>17982.189999999999</v>
      </c>
      <c r="G225" s="101">
        <f>ROUND(E225+F225,2)</f>
        <v>117883.24</v>
      </c>
      <c r="I225" s="81"/>
    </row>
    <row r="226" spans="1:9">
      <c r="B226" s="98" t="s">
        <v>31</v>
      </c>
      <c r="C226" s="99">
        <v>81732</v>
      </c>
      <c r="D226" s="100">
        <v>3.7166100000000002</v>
      </c>
      <c r="E226" s="101">
        <f>ROUND(C226*D226,2)</f>
        <v>303765.96999999997</v>
      </c>
      <c r="F226" s="101">
        <f t="shared" si="69"/>
        <v>54677.87</v>
      </c>
      <c r="G226" s="101">
        <f t="shared" ref="G226:G231" si="70">ROUND(E226+F226,2)</f>
        <v>358443.84</v>
      </c>
      <c r="I226" s="81"/>
    </row>
    <row r="227" spans="1:9">
      <c r="B227" s="98" t="s">
        <v>31</v>
      </c>
      <c r="C227" s="99">
        <v>156178</v>
      </c>
      <c r="D227" s="100">
        <v>3.7458300000000002</v>
      </c>
      <c r="E227" s="101">
        <f t="shared" ref="E227:E230" si="71">ROUND(C227*D227,2)</f>
        <v>585016.24</v>
      </c>
      <c r="F227" s="101">
        <f t="shared" si="69"/>
        <v>105302.92</v>
      </c>
      <c r="G227" s="101">
        <f t="shared" si="70"/>
        <v>690319.16</v>
      </c>
      <c r="I227" s="81"/>
    </row>
    <row r="228" spans="1:9">
      <c r="B228" s="98" t="s">
        <v>31</v>
      </c>
      <c r="C228" s="99">
        <v>127068</v>
      </c>
      <c r="D228" s="100">
        <v>3.76057</v>
      </c>
      <c r="E228" s="101">
        <f t="shared" si="71"/>
        <v>477848.11</v>
      </c>
      <c r="F228" s="101">
        <f t="shared" si="69"/>
        <v>86012.66</v>
      </c>
      <c r="G228" s="101">
        <f t="shared" si="70"/>
        <v>563860.77</v>
      </c>
      <c r="I228" s="81"/>
    </row>
    <row r="229" spans="1:9">
      <c r="B229" s="98" t="s">
        <v>31</v>
      </c>
      <c r="C229" s="99">
        <v>93573</v>
      </c>
      <c r="D229" s="100">
        <v>3.7696399999999999</v>
      </c>
      <c r="E229" s="101">
        <f t="shared" si="71"/>
        <v>352736.52</v>
      </c>
      <c r="F229" s="101">
        <f t="shared" si="69"/>
        <v>63492.57</v>
      </c>
      <c r="G229" s="101">
        <f t="shared" si="70"/>
        <v>416229.09</v>
      </c>
      <c r="I229" s="81"/>
    </row>
    <row r="230" spans="1:9">
      <c r="B230" s="98" t="s">
        <v>31</v>
      </c>
      <c r="C230" s="99">
        <v>29034</v>
      </c>
      <c r="D230" s="100">
        <v>3.9306000000000001</v>
      </c>
      <c r="E230" s="101">
        <f t="shared" si="71"/>
        <v>114121.04</v>
      </c>
      <c r="F230" s="101">
        <f t="shared" si="69"/>
        <v>20541.79</v>
      </c>
      <c r="G230" s="101">
        <f t="shared" si="70"/>
        <v>134662.82999999999</v>
      </c>
      <c r="I230" s="81"/>
    </row>
    <row r="231" spans="1:9" ht="15.75" thickBot="1">
      <c r="B231" s="61" t="s">
        <v>31</v>
      </c>
      <c r="C231" s="67">
        <v>71040</v>
      </c>
      <c r="D231" s="64">
        <v>3.9761799999999998</v>
      </c>
      <c r="E231" s="63">
        <f>ROUND(C231*D231,2)</f>
        <v>282467.83</v>
      </c>
      <c r="F231" s="63">
        <f t="shared" si="69"/>
        <v>50844.21</v>
      </c>
      <c r="G231" s="63">
        <f t="shared" si="70"/>
        <v>333312.03999999998</v>
      </c>
      <c r="I231" s="81"/>
    </row>
    <row r="232" spans="1:9">
      <c r="B232" t="s">
        <v>58</v>
      </c>
      <c r="C232" s="85">
        <f>SUM(C224:C231)</f>
        <v>673531</v>
      </c>
      <c r="D232" s="86">
        <f>E232/C232</f>
        <v>3.7742641838311823</v>
      </c>
      <c r="E232" s="87">
        <f>SUM(E224:E231)</f>
        <v>2542083.9300000002</v>
      </c>
      <c r="F232" s="87">
        <f>ROUND(E232*0.18,2)</f>
        <v>457575.11</v>
      </c>
      <c r="G232" s="87">
        <f>ROUND(E232+F232,2)</f>
        <v>2999659.04</v>
      </c>
      <c r="I232" s="81"/>
    </row>
    <row r="233" spans="1:9" ht="15.75" thickBot="1">
      <c r="B233" t="s">
        <v>59</v>
      </c>
      <c r="C233" s="82">
        <v>673531</v>
      </c>
      <c r="D233" s="83">
        <v>3.7742599999999999</v>
      </c>
      <c r="E233" s="84">
        <f>ROUND(C233*D233,2)+2.42</f>
        <v>2542083.5299999998</v>
      </c>
      <c r="F233" s="84">
        <f>559052.56-101477.52</f>
        <v>457575.04000000004</v>
      </c>
      <c r="G233" s="84">
        <f>E233+F233</f>
        <v>2999658.57</v>
      </c>
      <c r="I233" s="81"/>
    </row>
    <row r="234" spans="1:9" ht="15.75" thickBot="1">
      <c r="B234" s="102" t="s">
        <v>33</v>
      </c>
      <c r="C234" s="103">
        <v>1062</v>
      </c>
      <c r="D234" s="104">
        <v>530.85122999999999</v>
      </c>
      <c r="E234" s="109">
        <f>ROUND(C234*D234,2)</f>
        <v>563764.01</v>
      </c>
      <c r="F234" s="106">
        <f t="shared" ref="F234" si="72">ROUND(E234*0.18,2)</f>
        <v>101477.52</v>
      </c>
      <c r="G234" s="106">
        <f t="shared" ref="G234" si="73">ROUND(E234+F234,2)</f>
        <v>665241.53</v>
      </c>
      <c r="I234" s="81"/>
    </row>
    <row r="236" spans="1:9">
      <c r="D236" t="s">
        <v>58</v>
      </c>
      <c r="E236" s="94">
        <f>E232/C232</f>
        <v>3.7742641838311823</v>
      </c>
    </row>
    <row r="237" spans="1:9">
      <c r="D237" t="s">
        <v>59</v>
      </c>
      <c r="E237" s="94">
        <f>E233/C233</f>
        <v>3.7742635899461194</v>
      </c>
    </row>
    <row r="238" spans="1:9" s="107" customFormat="1">
      <c r="D238" s="108"/>
    </row>
    <row r="239" spans="1:9" s="107" customFormat="1">
      <c r="D239" s="108"/>
    </row>
    <row r="240" spans="1:9" s="95" customFormat="1" ht="32.25" thickBot="1">
      <c r="A240" s="168" t="s">
        <v>73</v>
      </c>
      <c r="B240" s="168"/>
      <c r="C240" s="168"/>
      <c r="D240" s="168"/>
      <c r="E240" s="168"/>
      <c r="F240" s="168"/>
      <c r="G240" s="168"/>
    </row>
    <row r="241" spans="1:11" ht="15.75" thickBot="1">
      <c r="A241" s="53"/>
      <c r="B241" s="54"/>
      <c r="C241" s="55" t="s">
        <v>32</v>
      </c>
      <c r="D241" s="55" t="s">
        <v>25</v>
      </c>
      <c r="E241" s="55" t="s">
        <v>26</v>
      </c>
      <c r="F241" s="55" t="s">
        <v>27</v>
      </c>
      <c r="G241" s="56" t="s">
        <v>28</v>
      </c>
      <c r="H241" s="88"/>
      <c r="I241" s="74"/>
      <c r="K241" s="74"/>
    </row>
    <row r="242" spans="1:11">
      <c r="A242" s="157" t="s">
        <v>0</v>
      </c>
      <c r="B242" s="58" t="s">
        <v>31</v>
      </c>
      <c r="C242" s="66">
        <v>90568</v>
      </c>
      <c r="D242" s="65">
        <v>3.8399000000000001</v>
      </c>
      <c r="E242" s="60">
        <f>ROUND(C242*D242,2)</f>
        <v>347772.06</v>
      </c>
      <c r="F242" s="60">
        <f>ROUND(E242*0.18,2)</f>
        <v>62598.97</v>
      </c>
      <c r="G242" s="60">
        <f>ROUND(E242+F242,2)</f>
        <v>410371.03</v>
      </c>
      <c r="I242" s="81"/>
    </row>
    <row r="243" spans="1:11" ht="15.75" thickBot="1">
      <c r="A243" s="158"/>
      <c r="B243" s="98" t="s">
        <v>31</v>
      </c>
      <c r="C243" s="99">
        <v>52926</v>
      </c>
      <c r="D243" s="100">
        <v>3.8422100000000001</v>
      </c>
      <c r="E243" s="101">
        <f>ROUND(C243*D243,2)</f>
        <v>203352.81</v>
      </c>
      <c r="F243" s="101">
        <f t="shared" ref="F243:F252" si="74">ROUND(E243*0.18,2)</f>
        <v>36603.51</v>
      </c>
      <c r="G243" s="101">
        <f>ROUND(E243+F243,2)</f>
        <v>239956.32</v>
      </c>
      <c r="I243" s="81"/>
    </row>
    <row r="244" spans="1:11">
      <c r="B244" s="98" t="s">
        <v>31</v>
      </c>
      <c r="C244" s="99">
        <v>83448</v>
      </c>
      <c r="D244" s="100">
        <v>3.8573400000000002</v>
      </c>
      <c r="E244" s="101">
        <f t="shared" ref="E244:E248" si="75">ROUND(C244*D244,2)</f>
        <v>321887.31</v>
      </c>
      <c r="F244" s="101">
        <f t="shared" si="74"/>
        <v>57939.72</v>
      </c>
      <c r="G244" s="101">
        <f t="shared" ref="G244:G252" si="76">ROUND(E244+F244,2)</f>
        <v>379827.03</v>
      </c>
      <c r="I244" s="81"/>
    </row>
    <row r="245" spans="1:11">
      <c r="B245" s="98" t="s">
        <v>31</v>
      </c>
      <c r="C245" s="99">
        <v>90420</v>
      </c>
      <c r="D245" s="100">
        <v>3.9071899999999999</v>
      </c>
      <c r="E245" s="101">
        <f t="shared" si="75"/>
        <v>353288.12</v>
      </c>
      <c r="F245" s="101">
        <f t="shared" si="74"/>
        <v>63591.86</v>
      </c>
      <c r="G245" s="101">
        <f t="shared" si="76"/>
        <v>416879.98</v>
      </c>
      <c r="I245" s="81"/>
    </row>
    <row r="246" spans="1:11">
      <c r="B246" s="98" t="s">
        <v>31</v>
      </c>
      <c r="C246" s="99">
        <v>120776</v>
      </c>
      <c r="D246" s="100">
        <v>3.92632</v>
      </c>
      <c r="E246" s="101">
        <f t="shared" si="75"/>
        <v>474205.22</v>
      </c>
      <c r="F246" s="101">
        <f t="shared" si="74"/>
        <v>85356.94</v>
      </c>
      <c r="G246" s="101">
        <f t="shared" si="76"/>
        <v>559562.16</v>
      </c>
      <c r="I246" s="81"/>
    </row>
    <row r="247" spans="1:11">
      <c r="B247" s="98" t="s">
        <v>31</v>
      </c>
      <c r="C247" s="99">
        <v>105403</v>
      </c>
      <c r="D247" s="100">
        <v>3.9328599999999998</v>
      </c>
      <c r="E247" s="101">
        <f t="shared" si="75"/>
        <v>414535.24</v>
      </c>
      <c r="F247" s="101">
        <f t="shared" si="74"/>
        <v>74616.34</v>
      </c>
      <c r="G247" s="101">
        <f t="shared" si="76"/>
        <v>489151.58</v>
      </c>
      <c r="I247" s="81"/>
    </row>
    <row r="248" spans="1:11">
      <c r="B248" s="98" t="s">
        <v>31</v>
      </c>
      <c r="C248" s="99">
        <v>83577</v>
      </c>
      <c r="D248" s="100">
        <v>4.0223699999999996</v>
      </c>
      <c r="E248" s="101">
        <f t="shared" si="75"/>
        <v>336177.62</v>
      </c>
      <c r="F248" s="101">
        <f t="shared" si="74"/>
        <v>60511.97</v>
      </c>
      <c r="G248" s="101">
        <f t="shared" si="76"/>
        <v>396689.59</v>
      </c>
      <c r="I248" s="81"/>
    </row>
    <row r="249" spans="1:11" ht="15.75" thickBot="1">
      <c r="B249" s="61" t="s">
        <v>31</v>
      </c>
      <c r="C249" s="67">
        <v>38172</v>
      </c>
      <c r="D249" s="64">
        <v>4.0285099999999998</v>
      </c>
      <c r="E249" s="63">
        <f>ROUND(C249*D249,2)</f>
        <v>153776.28</v>
      </c>
      <c r="F249" s="63">
        <f t="shared" si="74"/>
        <v>27679.73</v>
      </c>
      <c r="G249" s="63">
        <f t="shared" si="76"/>
        <v>181456.01</v>
      </c>
      <c r="I249" s="81"/>
    </row>
    <row r="250" spans="1:11">
      <c r="B250" t="s">
        <v>58</v>
      </c>
      <c r="C250" s="85">
        <f>SUM(C242:C249)</f>
        <v>665290</v>
      </c>
      <c r="D250" s="86">
        <f>E250/C250</f>
        <v>3.9155776578634875</v>
      </c>
      <c r="E250" s="87">
        <f>SUM(E242:E249)</f>
        <v>2604994.6599999997</v>
      </c>
      <c r="F250" s="87">
        <f>ROUND(E250*0.18,2)</f>
        <v>468899.04</v>
      </c>
      <c r="G250" s="87">
        <f>ROUND(E250+F250,2)</f>
        <v>3073893.7</v>
      </c>
      <c r="I250" s="81"/>
    </row>
    <row r="251" spans="1:11" ht="15.75" thickBot="1">
      <c r="B251" t="s">
        <v>59</v>
      </c>
      <c r="C251" s="82">
        <v>665290</v>
      </c>
      <c r="D251" s="83">
        <v>3.9155799999999998</v>
      </c>
      <c r="E251" s="84">
        <v>2604995.33</v>
      </c>
      <c r="F251" s="84">
        <f>567662.69-98763.53</f>
        <v>468899.15999999992</v>
      </c>
      <c r="G251" s="84">
        <f>E251+F251</f>
        <v>3073894.49</v>
      </c>
      <c r="I251" s="81"/>
    </row>
    <row r="252" spans="1:11" ht="15.75" thickBot="1">
      <c r="B252" s="102" t="s">
        <v>33</v>
      </c>
      <c r="C252" s="103">
        <v>1017</v>
      </c>
      <c r="D252" s="104">
        <v>539.51455999999996</v>
      </c>
      <c r="E252" s="105">
        <f>ROUND(C252*D252,2)-0.01</f>
        <v>548686.30000000005</v>
      </c>
      <c r="F252" s="106">
        <f t="shared" si="74"/>
        <v>98763.53</v>
      </c>
      <c r="G252" s="106">
        <f t="shared" si="76"/>
        <v>647449.82999999996</v>
      </c>
      <c r="I252" s="81"/>
    </row>
    <row r="254" spans="1:11">
      <c r="D254" t="s">
        <v>58</v>
      </c>
      <c r="E254" s="94">
        <f>E250/C250</f>
        <v>3.9155776578634875</v>
      </c>
    </row>
    <row r="255" spans="1:11">
      <c r="D255" t="s">
        <v>59</v>
      </c>
      <c r="E255" s="94">
        <f>E251/C251</f>
        <v>3.9155786649431077</v>
      </c>
    </row>
    <row r="256" spans="1:11">
      <c r="C256" s="97"/>
      <c r="D256" s="93" t="s">
        <v>66</v>
      </c>
    </row>
    <row r="257" spans="1:11">
      <c r="E257" s="94"/>
    </row>
    <row r="258" spans="1:11" s="95" customFormat="1" ht="32.25" thickBot="1">
      <c r="A258" s="168" t="s">
        <v>72</v>
      </c>
      <c r="B258" s="168"/>
      <c r="C258" s="168"/>
      <c r="D258" s="168"/>
      <c r="E258" s="168"/>
      <c r="F258" s="168"/>
      <c r="G258" s="168"/>
    </row>
    <row r="259" spans="1:11" ht="15.75" thickBot="1">
      <c r="A259" s="53"/>
      <c r="B259" s="54"/>
      <c r="C259" s="55" t="s">
        <v>32</v>
      </c>
      <c r="D259" s="55" t="s">
        <v>25</v>
      </c>
      <c r="E259" s="55" t="s">
        <v>26</v>
      </c>
      <c r="F259" s="55" t="s">
        <v>27</v>
      </c>
      <c r="G259" s="56" t="s">
        <v>28</v>
      </c>
      <c r="H259" s="88"/>
      <c r="I259" s="74"/>
      <c r="K259" s="74"/>
    </row>
    <row r="260" spans="1:11" ht="15.75" thickBot="1">
      <c r="A260" s="157" t="s">
        <v>0</v>
      </c>
      <c r="B260" s="58" t="s">
        <v>31</v>
      </c>
      <c r="C260" s="66">
        <v>69228</v>
      </c>
      <c r="D260" s="65">
        <v>3.7521499999999999</v>
      </c>
      <c r="E260" s="60">
        <f>ROUND(C260*D260,2)</f>
        <v>259753.84</v>
      </c>
      <c r="F260" s="60">
        <f>ROUND(E260*0.18,2)</f>
        <v>46755.69</v>
      </c>
      <c r="G260" s="60">
        <f>ROUND(E260+F260,2)</f>
        <v>306509.53000000003</v>
      </c>
      <c r="I260" s="81"/>
    </row>
    <row r="261" spans="1:11" ht="15.75" thickBot="1">
      <c r="A261" s="158"/>
      <c r="B261" s="58" t="s">
        <v>31</v>
      </c>
      <c r="C261" s="67">
        <v>86744</v>
      </c>
      <c r="D261" s="64">
        <v>3.7521900000000001</v>
      </c>
      <c r="E261" s="63">
        <f>ROUND(C261*D261,2)</f>
        <v>325479.96999999997</v>
      </c>
      <c r="F261" s="63">
        <f t="shared" ref="F261:F271" si="77">ROUND(E261*0.18,2)</f>
        <v>58586.39</v>
      </c>
      <c r="G261" s="63">
        <f>ROUND(E261+F261,2)</f>
        <v>384066.36</v>
      </c>
      <c r="I261" s="81"/>
    </row>
    <row r="262" spans="1:11" ht="15.75" thickBot="1">
      <c r="B262" s="58" t="s">
        <v>31</v>
      </c>
      <c r="C262" s="66">
        <v>13632</v>
      </c>
      <c r="D262" s="65">
        <v>3.7826599999999999</v>
      </c>
      <c r="E262" s="60">
        <f t="shared" ref="E262:E266" si="78">ROUND(C262*D262,2)</f>
        <v>51565.22</v>
      </c>
      <c r="F262" s="60">
        <f t="shared" si="77"/>
        <v>9281.74</v>
      </c>
      <c r="G262" s="60">
        <f t="shared" ref="G262:G271" si="79">ROUND(E262+F262,2)</f>
        <v>60846.96</v>
      </c>
      <c r="I262" s="81"/>
    </row>
    <row r="263" spans="1:11" ht="15.75" thickBot="1">
      <c r="B263" s="58" t="s">
        <v>31</v>
      </c>
      <c r="C263" s="67">
        <v>82707</v>
      </c>
      <c r="D263" s="64">
        <v>3.81881</v>
      </c>
      <c r="E263" s="63">
        <f t="shared" si="78"/>
        <v>315842.32</v>
      </c>
      <c r="F263" s="63">
        <f t="shared" si="77"/>
        <v>56851.62</v>
      </c>
      <c r="G263" s="63">
        <f t="shared" si="79"/>
        <v>372693.94</v>
      </c>
      <c r="I263" s="81"/>
    </row>
    <row r="264" spans="1:11" ht="15.75" thickBot="1">
      <c r="B264" s="58" t="s">
        <v>31</v>
      </c>
      <c r="C264" s="66">
        <v>123499</v>
      </c>
      <c r="D264" s="65">
        <v>3.8382999999999998</v>
      </c>
      <c r="E264" s="60">
        <f t="shared" si="78"/>
        <v>474026.21</v>
      </c>
      <c r="F264" s="60">
        <f t="shared" si="77"/>
        <v>85324.72</v>
      </c>
      <c r="G264" s="60">
        <f t="shared" si="79"/>
        <v>559350.93000000005</v>
      </c>
      <c r="I264" s="81"/>
    </row>
    <row r="265" spans="1:11" ht="15.75" thickBot="1">
      <c r="B265" s="58" t="s">
        <v>31</v>
      </c>
      <c r="C265" s="67">
        <v>50684</v>
      </c>
      <c r="D265" s="64">
        <v>3.91954</v>
      </c>
      <c r="E265" s="63">
        <f t="shared" si="78"/>
        <v>198657.97</v>
      </c>
      <c r="F265" s="63">
        <f t="shared" si="77"/>
        <v>35758.43</v>
      </c>
      <c r="G265" s="63">
        <f t="shared" si="79"/>
        <v>234416.4</v>
      </c>
      <c r="I265" s="81"/>
    </row>
    <row r="266" spans="1:11" ht="15.75" thickBot="1">
      <c r="B266" s="58" t="s">
        <v>31</v>
      </c>
      <c r="C266" s="66">
        <v>32682</v>
      </c>
      <c r="D266" s="65">
        <v>4.0011400000000004</v>
      </c>
      <c r="E266" s="60">
        <f t="shared" si="78"/>
        <v>130765.26</v>
      </c>
      <c r="F266" s="60">
        <f t="shared" si="77"/>
        <v>23537.75</v>
      </c>
      <c r="G266" s="60">
        <f t="shared" si="79"/>
        <v>154303.01</v>
      </c>
      <c r="I266" s="81"/>
    </row>
    <row r="267" spans="1:11" ht="15.75" thickBot="1">
      <c r="B267" s="58" t="s">
        <v>31</v>
      </c>
      <c r="C267" s="67">
        <v>65232</v>
      </c>
      <c r="D267" s="64">
        <v>4.0376099999999999</v>
      </c>
      <c r="E267" s="63">
        <f>ROUND(C267*D267,2)</f>
        <v>263381.38</v>
      </c>
      <c r="F267" s="63">
        <f t="shared" si="77"/>
        <v>47408.65</v>
      </c>
      <c r="G267" s="63">
        <f t="shared" si="79"/>
        <v>310790.03000000003</v>
      </c>
      <c r="I267" s="81"/>
    </row>
    <row r="268" spans="1:11">
      <c r="B268" s="58" t="s">
        <v>31</v>
      </c>
      <c r="C268" s="66"/>
      <c r="D268" s="65"/>
      <c r="E268" s="60">
        <f>ROUND(C268*D268,2)</f>
        <v>0</v>
      </c>
      <c r="F268" s="60">
        <f t="shared" si="77"/>
        <v>0</v>
      </c>
      <c r="G268" s="60">
        <f t="shared" si="79"/>
        <v>0</v>
      </c>
      <c r="I268" s="81"/>
    </row>
    <row r="269" spans="1:11">
      <c r="B269" t="s">
        <v>58</v>
      </c>
      <c r="C269" s="85">
        <f>SUM(C260:C268)</f>
        <v>524408</v>
      </c>
      <c r="D269" s="86">
        <f>E269/C269</f>
        <v>3.8509560685573065</v>
      </c>
      <c r="E269" s="87">
        <f>SUM(E260:E268)</f>
        <v>2019472.17</v>
      </c>
      <c r="F269" s="87">
        <f>ROUND(E269*0.18,2)</f>
        <v>363504.99</v>
      </c>
      <c r="G269" s="87">
        <f>ROUND(E269+F269,2)</f>
        <v>2382977.16</v>
      </c>
      <c r="I269" s="81"/>
    </row>
    <row r="270" spans="1:11">
      <c r="B270" t="s">
        <v>59</v>
      </c>
      <c r="C270" s="82">
        <v>524408</v>
      </c>
      <c r="D270" s="83">
        <v>3.8509600000000002</v>
      </c>
      <c r="E270" s="84">
        <v>2019472.32</v>
      </c>
      <c r="F270" s="84">
        <f>423829.02-60324</f>
        <v>363505.02</v>
      </c>
      <c r="G270" s="84">
        <f>E270+F270</f>
        <v>2382977.34</v>
      </c>
      <c r="I270" s="81"/>
    </row>
    <row r="271" spans="1:11" ht="15.75" thickBot="1">
      <c r="B271" s="61" t="s">
        <v>33</v>
      </c>
      <c r="C271" s="67">
        <v>690</v>
      </c>
      <c r="D271" s="64">
        <v>485.70053000000001</v>
      </c>
      <c r="E271" s="91">
        <f>ROUND(C271*D271,2)-0.01</f>
        <v>335133.36</v>
      </c>
      <c r="F271" s="63">
        <f t="shared" si="77"/>
        <v>60324</v>
      </c>
      <c r="G271" s="63">
        <f t="shared" si="79"/>
        <v>395457.36</v>
      </c>
      <c r="I271" s="81"/>
    </row>
    <row r="273" spans="1:11">
      <c r="D273" t="s">
        <v>58</v>
      </c>
      <c r="E273" s="94">
        <f>E269/C269</f>
        <v>3.8509560685573065</v>
      </c>
    </row>
    <row r="274" spans="1:11">
      <c r="D274" t="s">
        <v>59</v>
      </c>
      <c r="E274" s="94">
        <f>E270/C270</f>
        <v>3.8509563545941328</v>
      </c>
    </row>
    <row r="276" spans="1:11">
      <c r="C276" s="92"/>
      <c r="D276" s="93" t="s">
        <v>66</v>
      </c>
    </row>
    <row r="278" spans="1:11" s="96" customFormat="1" ht="29.25" thickBot="1">
      <c r="A278" s="171" t="s">
        <v>71</v>
      </c>
      <c r="B278" s="171"/>
      <c r="C278" s="171"/>
      <c r="D278" s="171"/>
      <c r="E278" s="171"/>
      <c r="F278" s="171"/>
      <c r="G278" s="171"/>
    </row>
    <row r="279" spans="1:11" ht="15.75" thickBot="1">
      <c r="A279" s="53"/>
      <c r="B279" s="54"/>
      <c r="C279" s="55" t="s">
        <v>32</v>
      </c>
      <c r="D279" s="55" t="s">
        <v>25</v>
      </c>
      <c r="E279" s="55" t="s">
        <v>26</v>
      </c>
      <c r="F279" s="55" t="s">
        <v>27</v>
      </c>
      <c r="G279" s="56" t="s">
        <v>28</v>
      </c>
      <c r="H279" s="88" t="s">
        <v>60</v>
      </c>
      <c r="I279" s="74" t="s">
        <v>61</v>
      </c>
      <c r="K279" s="88" t="s">
        <v>60</v>
      </c>
    </row>
    <row r="280" spans="1:11" ht="15.75" thickBot="1">
      <c r="A280" s="157" t="s">
        <v>0</v>
      </c>
      <c r="B280" s="58" t="s">
        <v>31</v>
      </c>
      <c r="C280" s="66">
        <v>73680</v>
      </c>
      <c r="D280" s="65">
        <v>3.65239</v>
      </c>
      <c r="E280" s="60">
        <f>ROUND(C280*D280,2)</f>
        <v>269108.09999999998</v>
      </c>
      <c r="F280" s="60">
        <f>ROUND(E280*0.18,2)</f>
        <v>48439.46</v>
      </c>
      <c r="G280" s="60">
        <f>ROUND(E280+F280,2)</f>
        <v>317547.56</v>
      </c>
      <c r="H280">
        <v>224969.49</v>
      </c>
      <c r="I280" s="81">
        <f>G280-H280</f>
        <v>92578.07</v>
      </c>
      <c r="K280">
        <v>232395.07</v>
      </c>
    </row>
    <row r="281" spans="1:11" ht="15.75" thickBot="1">
      <c r="A281" s="158"/>
      <c r="B281" s="58" t="s">
        <v>31</v>
      </c>
      <c r="C281" s="67">
        <v>24402</v>
      </c>
      <c r="D281" s="64">
        <v>3.66587</v>
      </c>
      <c r="E281" s="63">
        <f>ROUND(C281*D281,2)</f>
        <v>89454.56</v>
      </c>
      <c r="F281" s="63">
        <f t="shared" ref="F281:F291" si="80">ROUND(E281*0.18,2)</f>
        <v>16101.82</v>
      </c>
      <c r="G281" s="63">
        <f>ROUND(E281+F281,2)</f>
        <v>105556.38</v>
      </c>
      <c r="H281">
        <v>209530.36</v>
      </c>
      <c r="I281" s="81">
        <f t="shared" ref="I281:I291" si="81">G281-H281</f>
        <v>-103973.97999999998</v>
      </c>
      <c r="K281">
        <v>269888.07</v>
      </c>
    </row>
    <row r="282" spans="1:11" ht="15.75" thickBot="1">
      <c r="B282" s="58" t="s">
        <v>31</v>
      </c>
      <c r="C282" s="66">
        <v>63564</v>
      </c>
      <c r="D282" s="65">
        <v>3.6711200000000002</v>
      </c>
      <c r="E282" s="60">
        <f t="shared" ref="E282:E286" si="82">ROUND(C282*D282,2)</f>
        <v>233351.07</v>
      </c>
      <c r="F282" s="60">
        <f t="shared" si="80"/>
        <v>42003.19</v>
      </c>
      <c r="G282" s="60">
        <f t="shared" ref="G282:G291" si="83">ROUND(E282+F282,2)</f>
        <v>275354.26</v>
      </c>
      <c r="H282">
        <v>296507.18</v>
      </c>
      <c r="I282" s="81">
        <f t="shared" si="81"/>
        <v>-21152.919999999984</v>
      </c>
      <c r="K282">
        <v>94414.69</v>
      </c>
    </row>
    <row r="283" spans="1:11" ht="15.75" thickBot="1">
      <c r="B283" s="58" t="s">
        <v>31</v>
      </c>
      <c r="C283" s="67">
        <v>80886</v>
      </c>
      <c r="D283" s="64">
        <v>3.7109299999999998</v>
      </c>
      <c r="E283" s="63">
        <f t="shared" si="82"/>
        <v>300162.28000000003</v>
      </c>
      <c r="F283" s="63">
        <f t="shared" si="80"/>
        <v>54029.21</v>
      </c>
      <c r="G283" s="63">
        <f t="shared" si="83"/>
        <v>354191.49</v>
      </c>
      <c r="H283">
        <v>305877.90999999997</v>
      </c>
      <c r="I283" s="81">
        <f t="shared" si="81"/>
        <v>48313.580000000016</v>
      </c>
      <c r="K283">
        <v>310332.24</v>
      </c>
    </row>
    <row r="284" spans="1:11" ht="15.75" thickBot="1">
      <c r="B284" s="58" t="s">
        <v>31</v>
      </c>
      <c r="C284" s="66">
        <v>80937</v>
      </c>
      <c r="D284" s="65">
        <v>3.7371099999999999</v>
      </c>
      <c r="E284" s="60">
        <f t="shared" si="82"/>
        <v>302470.46999999997</v>
      </c>
      <c r="F284" s="60">
        <f t="shared" si="80"/>
        <v>54444.68</v>
      </c>
      <c r="G284" s="60">
        <f t="shared" si="83"/>
        <v>356915.15</v>
      </c>
      <c r="H284">
        <v>270561.95</v>
      </c>
      <c r="I284" s="81">
        <f t="shared" si="81"/>
        <v>86353.200000000012</v>
      </c>
      <c r="K284">
        <v>288026.34999999998</v>
      </c>
    </row>
    <row r="285" spans="1:11" ht="15.75" thickBot="1">
      <c r="B285" s="58" t="s">
        <v>31</v>
      </c>
      <c r="C285" s="67">
        <v>15048</v>
      </c>
      <c r="D285" s="64">
        <v>3.8521899999999998</v>
      </c>
      <c r="E285" s="63">
        <f t="shared" si="82"/>
        <v>57967.76</v>
      </c>
      <c r="F285" s="63">
        <f t="shared" si="80"/>
        <v>10434.200000000001</v>
      </c>
      <c r="G285" s="63">
        <f t="shared" si="83"/>
        <v>68401.960000000006</v>
      </c>
      <c r="H285">
        <v>231429.08</v>
      </c>
      <c r="I285" s="81">
        <f t="shared" si="81"/>
        <v>-163027.12</v>
      </c>
      <c r="K285">
        <v>78056.98</v>
      </c>
    </row>
    <row r="286" spans="1:11" ht="15.75" thickBot="1">
      <c r="B286" s="58" t="s">
        <v>31</v>
      </c>
      <c r="C286" s="66">
        <v>49060</v>
      </c>
      <c r="D286" s="65">
        <v>3.8621300000000001</v>
      </c>
      <c r="E286" s="60">
        <f t="shared" si="82"/>
        <v>189476.1</v>
      </c>
      <c r="F286" s="60">
        <f t="shared" si="80"/>
        <v>34105.699999999997</v>
      </c>
      <c r="G286" s="60">
        <f t="shared" si="83"/>
        <v>223581.8</v>
      </c>
      <c r="H286">
        <v>1747.36</v>
      </c>
      <c r="I286" s="81">
        <f t="shared" si="81"/>
        <v>221834.44</v>
      </c>
      <c r="K286">
        <v>88890.86</v>
      </c>
    </row>
    <row r="287" spans="1:11" ht="15.75" thickBot="1">
      <c r="B287" s="58" t="s">
        <v>31</v>
      </c>
      <c r="C287" s="67">
        <v>17532</v>
      </c>
      <c r="D287" s="64">
        <v>3.8852099999999998</v>
      </c>
      <c r="E287" s="63">
        <f>ROUND(C287*D287,2)</f>
        <v>68115.5</v>
      </c>
      <c r="F287" s="63">
        <f t="shared" si="80"/>
        <v>12260.79</v>
      </c>
      <c r="G287" s="63">
        <f t="shared" si="83"/>
        <v>80376.289999999994</v>
      </c>
      <c r="H287">
        <v>116888.16</v>
      </c>
      <c r="I287" s="81">
        <f t="shared" si="81"/>
        <v>-36511.87000000001</v>
      </c>
      <c r="K287">
        <v>92563.98</v>
      </c>
    </row>
    <row r="288" spans="1:11">
      <c r="B288" s="58" t="s">
        <v>31</v>
      </c>
      <c r="C288" s="66"/>
      <c r="D288" s="65"/>
      <c r="E288" s="60">
        <f>ROUND(C288*D288,2)</f>
        <v>0</v>
      </c>
      <c r="F288" s="60">
        <f t="shared" si="80"/>
        <v>0</v>
      </c>
      <c r="G288" s="60">
        <f t="shared" si="83"/>
        <v>0</v>
      </c>
      <c r="H288">
        <v>216332.23</v>
      </c>
      <c r="I288" s="81">
        <f t="shared" si="81"/>
        <v>-216332.23</v>
      </c>
      <c r="K288">
        <v>78626.34</v>
      </c>
    </row>
    <row r="289" spans="1:11">
      <c r="B289" t="s">
        <v>58</v>
      </c>
      <c r="C289" s="85">
        <f>SUM(C280:C288)</f>
        <v>405109</v>
      </c>
      <c r="D289" s="86">
        <f>E289/C289</f>
        <v>3.7276531501398393</v>
      </c>
      <c r="E289" s="87">
        <f>SUM(E280:E288)</f>
        <v>1510105.84</v>
      </c>
      <c r="F289" s="87">
        <f>ROUND(E289*0.18,2)</f>
        <v>271819.05</v>
      </c>
      <c r="G289" s="87">
        <f t="shared" si="83"/>
        <v>1781924.89</v>
      </c>
      <c r="I289" s="81"/>
      <c r="K289">
        <f>SUM(K280:K288)</f>
        <v>1533194.58</v>
      </c>
    </row>
    <row r="290" spans="1:11">
      <c r="B290" t="s">
        <v>59</v>
      </c>
      <c r="C290" s="82">
        <v>405109</v>
      </c>
      <c r="D290" s="83">
        <v>3.7276500000000001</v>
      </c>
      <c r="E290" s="84">
        <v>1510105.66</v>
      </c>
      <c r="F290" s="84">
        <f>ROUND(E290*0.18,2)</f>
        <v>271819.02</v>
      </c>
      <c r="G290" s="84">
        <f>E290+F290</f>
        <v>1781924.68</v>
      </c>
      <c r="I290" s="81"/>
    </row>
    <row r="291" spans="1:11" ht="15.75" thickBot="1">
      <c r="B291" s="61" t="s">
        <v>33</v>
      </c>
      <c r="C291" s="67">
        <v>704</v>
      </c>
      <c r="D291" s="64">
        <v>413.10885999999999</v>
      </c>
      <c r="E291" s="63">
        <f>ROUND(C291*D291,2)</f>
        <v>290828.64</v>
      </c>
      <c r="F291" s="63">
        <f t="shared" si="80"/>
        <v>52349.16</v>
      </c>
      <c r="G291" s="63">
        <f t="shared" si="83"/>
        <v>343177.8</v>
      </c>
      <c r="H291">
        <v>945946.72</v>
      </c>
      <c r="I291" s="81">
        <f t="shared" si="81"/>
        <v>-602768.91999999993</v>
      </c>
    </row>
    <row r="293" spans="1:11">
      <c r="D293" t="s">
        <v>58</v>
      </c>
      <c r="E293" s="89">
        <f>E289/C289</f>
        <v>3.7276531501398393</v>
      </c>
      <c r="F293">
        <f>430137.53-144296.96</f>
        <v>285840.57000000007</v>
      </c>
    </row>
    <row r="294" spans="1:11">
      <c r="D294" t="s">
        <v>59</v>
      </c>
      <c r="E294" s="89">
        <f>E290/C290</f>
        <v>3.727652705814978</v>
      </c>
    </row>
    <row r="296" spans="1:11" ht="34.5" thickBot="1">
      <c r="A296" s="165" t="s">
        <v>69</v>
      </c>
      <c r="B296" s="165"/>
      <c r="C296" s="165"/>
      <c r="D296" s="165"/>
      <c r="E296" s="165"/>
      <c r="F296" s="165"/>
      <c r="G296" s="165"/>
    </row>
    <row r="297" spans="1:11" ht="15.75" thickBot="1">
      <c r="A297" s="53"/>
      <c r="B297" s="54"/>
      <c r="C297" s="55" t="s">
        <v>32</v>
      </c>
      <c r="D297" s="55" t="s">
        <v>25</v>
      </c>
      <c r="E297" s="55" t="s">
        <v>26</v>
      </c>
      <c r="F297" s="55" t="s">
        <v>27</v>
      </c>
      <c r="G297" s="56" t="s">
        <v>28</v>
      </c>
      <c r="H297" s="88" t="s">
        <v>60</v>
      </c>
      <c r="I297" s="74" t="s">
        <v>61</v>
      </c>
      <c r="K297" s="88" t="s">
        <v>60</v>
      </c>
    </row>
    <row r="298" spans="1:11">
      <c r="A298" s="157" t="s">
        <v>0</v>
      </c>
      <c r="B298" s="58" t="s">
        <v>31</v>
      </c>
      <c r="C298" s="66">
        <v>52056</v>
      </c>
      <c r="D298" s="65">
        <v>3.6624400000000001</v>
      </c>
      <c r="E298" s="60">
        <f>ROUND(C298*D298,2)</f>
        <v>190651.98</v>
      </c>
      <c r="F298" s="60">
        <f>ROUND(E298*0.18,2)</f>
        <v>34317.360000000001</v>
      </c>
      <c r="G298" s="60">
        <f>ROUND(E298+F298,2)</f>
        <v>224969.34</v>
      </c>
      <c r="H298">
        <v>224969.49</v>
      </c>
      <c r="I298" s="81">
        <f>G298-H298</f>
        <v>-0.14999999999417923</v>
      </c>
      <c r="K298">
        <v>232395.07</v>
      </c>
    </row>
    <row r="299" spans="1:11" ht="15.75" thickBot="1">
      <c r="A299" s="158"/>
      <c r="B299" s="61" t="s">
        <v>33</v>
      </c>
      <c r="C299" s="67">
        <v>48303</v>
      </c>
      <c r="D299" s="64">
        <v>3.6761300000000001</v>
      </c>
      <c r="E299" s="63">
        <f>ROUND(C299*D299,2)</f>
        <v>177568.11</v>
      </c>
      <c r="F299" s="63">
        <f t="shared" ref="F299:F309" si="84">ROUND(E299*0.18,2)</f>
        <v>31962.26</v>
      </c>
      <c r="G299" s="63">
        <f>ROUND(E299+F299,2)</f>
        <v>209530.37</v>
      </c>
      <c r="H299">
        <v>209530.36</v>
      </c>
      <c r="I299" s="81">
        <f t="shared" ref="I299:I309" si="85">G299-H299</f>
        <v>1.0000000009313226E-2</v>
      </c>
      <c r="K299">
        <v>269888.07</v>
      </c>
    </row>
    <row r="300" spans="1:11">
      <c r="C300" s="66">
        <v>67428</v>
      </c>
      <c r="D300" s="65">
        <v>3.7265999999999999</v>
      </c>
      <c r="E300" s="60">
        <f t="shared" ref="E300:E304" si="86">ROUND(C300*D300,2)</f>
        <v>251277.18</v>
      </c>
      <c r="F300" s="60">
        <f t="shared" si="84"/>
        <v>45229.89</v>
      </c>
      <c r="G300" s="60">
        <f t="shared" ref="G300:G309" si="87">ROUND(E300+F300,2)</f>
        <v>296507.07</v>
      </c>
      <c r="H300">
        <v>296507.18</v>
      </c>
      <c r="I300" s="81">
        <f t="shared" si="85"/>
        <v>-0.10999999998603016</v>
      </c>
      <c r="K300">
        <v>94414.69</v>
      </c>
    </row>
    <row r="301" spans="1:11" ht="15.75" thickBot="1">
      <c r="C301" s="67">
        <v>69013</v>
      </c>
      <c r="D301" s="64">
        <v>3.7560799999999999</v>
      </c>
      <c r="E301" s="63">
        <f t="shared" si="86"/>
        <v>259218.35</v>
      </c>
      <c r="F301" s="63">
        <f t="shared" si="84"/>
        <v>46659.3</v>
      </c>
      <c r="G301" s="63">
        <f t="shared" si="87"/>
        <v>305877.65000000002</v>
      </c>
      <c r="H301">
        <v>305877.90999999997</v>
      </c>
      <c r="I301" s="81">
        <f t="shared" si="85"/>
        <v>-0.25999999995110556</v>
      </c>
      <c r="K301">
        <v>310332.24</v>
      </c>
    </row>
    <row r="302" spans="1:11">
      <c r="C302" s="66">
        <v>60897</v>
      </c>
      <c r="D302" s="65">
        <v>3.7652100000000002</v>
      </c>
      <c r="E302" s="60">
        <f t="shared" si="86"/>
        <v>229289.99</v>
      </c>
      <c r="F302" s="60">
        <f t="shared" si="84"/>
        <v>41272.199999999997</v>
      </c>
      <c r="G302" s="60">
        <f t="shared" si="87"/>
        <v>270562.19</v>
      </c>
      <c r="H302">
        <v>270561.95</v>
      </c>
      <c r="I302" s="81">
        <f t="shared" si="85"/>
        <v>0.23999999999068677</v>
      </c>
      <c r="K302">
        <v>288026.34999999998</v>
      </c>
    </row>
    <row r="303" spans="1:11" ht="15.75" thickBot="1">
      <c r="C303" s="67">
        <v>50631</v>
      </c>
      <c r="D303" s="64">
        <v>3.87364</v>
      </c>
      <c r="E303" s="63">
        <f t="shared" si="86"/>
        <v>196126.27</v>
      </c>
      <c r="F303" s="63">
        <f t="shared" si="84"/>
        <v>35302.730000000003</v>
      </c>
      <c r="G303" s="63">
        <f t="shared" si="87"/>
        <v>231429</v>
      </c>
      <c r="H303">
        <v>231429.08</v>
      </c>
      <c r="I303" s="81">
        <f t="shared" si="85"/>
        <v>-7.9999999987194315E-2</v>
      </c>
      <c r="K303">
        <v>78056.98</v>
      </c>
    </row>
    <row r="304" spans="1:11">
      <c r="C304" s="66">
        <v>376</v>
      </c>
      <c r="D304" s="65">
        <v>3.93832</v>
      </c>
      <c r="E304" s="60">
        <f t="shared" si="86"/>
        <v>1480.81</v>
      </c>
      <c r="F304" s="60">
        <f t="shared" si="84"/>
        <v>266.55</v>
      </c>
      <c r="G304" s="60">
        <f t="shared" si="87"/>
        <v>1747.36</v>
      </c>
      <c r="H304">
        <v>1747.36</v>
      </c>
      <c r="I304" s="81">
        <f t="shared" si="85"/>
        <v>0</v>
      </c>
      <c r="K304">
        <v>88890.86</v>
      </c>
    </row>
    <row r="305" spans="1:11" ht="15.75" thickBot="1">
      <c r="C305" s="67">
        <v>24867</v>
      </c>
      <c r="D305" s="64">
        <v>3.9834999999999998</v>
      </c>
      <c r="E305" s="63">
        <f>ROUND(C305*D305,2)</f>
        <v>99057.69</v>
      </c>
      <c r="F305" s="63">
        <f t="shared" si="84"/>
        <v>17830.38</v>
      </c>
      <c r="G305" s="63">
        <f t="shared" si="87"/>
        <v>116888.07</v>
      </c>
      <c r="H305">
        <v>116888.16</v>
      </c>
      <c r="I305" s="81">
        <f t="shared" si="85"/>
        <v>-8.999999999650754E-2</v>
      </c>
      <c r="K305">
        <v>92563.98</v>
      </c>
    </row>
    <row r="306" spans="1:11">
      <c r="C306" s="66">
        <v>45941</v>
      </c>
      <c r="D306" s="65">
        <v>3.9906100000000002</v>
      </c>
      <c r="E306" s="60">
        <f>ROUND(C306*D306,2)</f>
        <v>183332.61</v>
      </c>
      <c r="F306" s="60">
        <f t="shared" si="84"/>
        <v>32999.870000000003</v>
      </c>
      <c r="G306" s="60">
        <f t="shared" si="87"/>
        <v>216332.48</v>
      </c>
      <c r="H306">
        <v>216332.23</v>
      </c>
      <c r="I306" s="81">
        <f t="shared" si="85"/>
        <v>0.25</v>
      </c>
      <c r="K306">
        <v>78626.34</v>
      </c>
    </row>
    <row r="307" spans="1:11">
      <c r="B307" t="s">
        <v>58</v>
      </c>
      <c r="C307" s="85">
        <f>SUM(C298:C306)</f>
        <v>419512</v>
      </c>
      <c r="D307" s="86">
        <f>E307/C307</f>
        <v>3.7853577251663832</v>
      </c>
      <c r="E307" s="87">
        <f>SUM(E298:E306)</f>
        <v>1588002.9899999998</v>
      </c>
      <c r="F307" s="87">
        <f>ROUND(E307*0.18,2)</f>
        <v>285840.53999999998</v>
      </c>
      <c r="G307" s="87">
        <f t="shared" si="87"/>
        <v>1873843.53</v>
      </c>
      <c r="I307" s="81"/>
      <c r="K307">
        <f>SUM(K298:K306)</f>
        <v>1533194.58</v>
      </c>
    </row>
    <row r="308" spans="1:11">
      <c r="B308" t="s">
        <v>59</v>
      </c>
      <c r="C308" s="82">
        <v>419512</v>
      </c>
      <c r="D308" s="83">
        <v>3.7853599999999998</v>
      </c>
      <c r="E308" s="84">
        <v>1588003.15</v>
      </c>
      <c r="F308" s="84">
        <f>430137.53-144296.96</f>
        <v>285840.57000000007</v>
      </c>
      <c r="G308" s="84">
        <f>E308+F308</f>
        <v>1873843.72</v>
      </c>
      <c r="I308" s="81"/>
    </row>
    <row r="309" spans="1:11" ht="15.75" thickBot="1">
      <c r="C309" s="67">
        <v>1413</v>
      </c>
      <c r="D309" s="64">
        <v>567.33883000000003</v>
      </c>
      <c r="E309" s="63">
        <f>ROUND(C309*D309,2)</f>
        <v>801649.77</v>
      </c>
      <c r="F309" s="63">
        <f t="shared" si="84"/>
        <v>144296.95999999999</v>
      </c>
      <c r="G309" s="63">
        <f t="shared" si="87"/>
        <v>945946.73</v>
      </c>
      <c r="H309">
        <v>945946.72</v>
      </c>
      <c r="I309" s="81">
        <f t="shared" si="85"/>
        <v>1.0000000009313226E-2</v>
      </c>
    </row>
    <row r="311" spans="1:11">
      <c r="D311" t="s">
        <v>58</v>
      </c>
      <c r="E311" s="89">
        <f>E307/C307</f>
        <v>3.7853577251663832</v>
      </c>
      <c r="F311">
        <f>430137.53-144296.96</f>
        <v>285840.57000000007</v>
      </c>
    </row>
    <row r="312" spans="1:11">
      <c r="D312" t="s">
        <v>59</v>
      </c>
      <c r="E312" s="89">
        <f>E308/C308</f>
        <v>3.78535810656191</v>
      </c>
    </row>
    <row r="314" spans="1:11" ht="34.5" thickBot="1">
      <c r="A314" s="165" t="s">
        <v>70</v>
      </c>
      <c r="B314" s="165"/>
      <c r="C314" s="165"/>
      <c r="D314" s="165"/>
      <c r="E314" s="165"/>
      <c r="F314" s="165"/>
      <c r="G314" s="165"/>
    </row>
    <row r="315" spans="1:11" ht="15.75" thickBot="1">
      <c r="A315" s="53"/>
      <c r="B315" s="54"/>
      <c r="C315" s="55" t="s">
        <v>32</v>
      </c>
      <c r="D315" s="55" t="s">
        <v>25</v>
      </c>
      <c r="E315" s="55" t="s">
        <v>26</v>
      </c>
      <c r="F315" s="55" t="s">
        <v>27</v>
      </c>
      <c r="G315" s="56" t="s">
        <v>28</v>
      </c>
      <c r="H315" s="88" t="s">
        <v>60</v>
      </c>
      <c r="I315" s="74" t="s">
        <v>61</v>
      </c>
      <c r="K315" s="88" t="s">
        <v>60</v>
      </c>
    </row>
    <row r="316" spans="1:11">
      <c r="A316" s="157" t="s">
        <v>0</v>
      </c>
      <c r="B316" s="58" t="s">
        <v>31</v>
      </c>
      <c r="C316" s="66">
        <v>67875</v>
      </c>
      <c r="D316" s="65">
        <v>3.42387</v>
      </c>
      <c r="E316" s="60">
        <f>ROUND(C316*D316,2)</f>
        <v>232395.18</v>
      </c>
      <c r="F316" s="60">
        <f>ROUND(E316*0.18,2)</f>
        <v>41831.129999999997</v>
      </c>
      <c r="G316" s="60">
        <f>ROUND(E316+F316,2)</f>
        <v>274226.31</v>
      </c>
      <c r="H316">
        <v>274226.18</v>
      </c>
      <c r="I316" s="81">
        <f>G316-H316</f>
        <v>0.13000000000465661</v>
      </c>
      <c r="K316">
        <v>232395.07</v>
      </c>
    </row>
    <row r="317" spans="1:11" ht="15.75" thickBot="1">
      <c r="A317" s="158"/>
      <c r="B317" s="61" t="s">
        <v>33</v>
      </c>
      <c r="C317" s="67">
        <v>78572</v>
      </c>
      <c r="D317" s="64">
        <v>3.4349099999999999</v>
      </c>
      <c r="E317" s="63">
        <f>ROUND(C317*D317,2)</f>
        <v>269887.75</v>
      </c>
      <c r="F317" s="63">
        <f t="shared" ref="F317:F318" si="88">ROUND(E317*0.18,2)</f>
        <v>48579.8</v>
      </c>
      <c r="G317" s="63">
        <f>ROUND(E317+F317,2)</f>
        <v>318467.55</v>
      </c>
      <c r="H317">
        <v>318467.92</v>
      </c>
      <c r="I317" s="81">
        <f t="shared" ref="I317:I327" si="89">G317-H317</f>
        <v>-0.36999999999534339</v>
      </c>
      <c r="K317">
        <v>269888.07</v>
      </c>
    </row>
    <row r="318" spans="1:11">
      <c r="C318" s="66">
        <v>27378</v>
      </c>
      <c r="D318" s="65">
        <v>3.4485600000000001</v>
      </c>
      <c r="E318" s="60">
        <f t="shared" ref="E318:E322" si="90">ROUND(C318*D318,2)</f>
        <v>94414.68</v>
      </c>
      <c r="F318" s="60">
        <f t="shared" si="88"/>
        <v>16994.64</v>
      </c>
      <c r="G318" s="60">
        <f t="shared" ref="G318:G327" si="91">ROUND(E318+F318,2)</f>
        <v>111409.32</v>
      </c>
      <c r="H318">
        <v>111409.33</v>
      </c>
      <c r="I318" s="81">
        <f t="shared" si="89"/>
        <v>-9.9999999947613105E-3</v>
      </c>
      <c r="K318">
        <v>94414.69</v>
      </c>
    </row>
    <row r="319" spans="1:11" ht="15.75" thickBot="1">
      <c r="C319" s="67">
        <v>89038</v>
      </c>
      <c r="D319" s="64">
        <v>3.4853900000000002</v>
      </c>
      <c r="E319" s="63">
        <f t="shared" si="90"/>
        <v>310332.15000000002</v>
      </c>
      <c r="F319" s="63">
        <f t="shared" ref="F319:F327" si="92">ROUND(E319*0.18,2)</f>
        <v>55859.79</v>
      </c>
      <c r="G319" s="63">
        <f t="shared" si="91"/>
        <v>366191.94</v>
      </c>
      <c r="H319">
        <v>366192.04</v>
      </c>
      <c r="I319" s="81">
        <f t="shared" si="89"/>
        <v>-9.9999999976716936E-2</v>
      </c>
      <c r="K319">
        <v>310332.24</v>
      </c>
    </row>
    <row r="320" spans="1:11">
      <c r="C320" s="66">
        <v>82452</v>
      </c>
      <c r="D320" s="65">
        <v>3.4932599999999998</v>
      </c>
      <c r="E320" s="60">
        <f t="shared" si="90"/>
        <v>288026.27</v>
      </c>
      <c r="F320" s="60">
        <f t="shared" si="92"/>
        <v>51844.73</v>
      </c>
      <c r="G320" s="60">
        <f t="shared" si="91"/>
        <v>339871</v>
      </c>
      <c r="H320">
        <v>339871.09</v>
      </c>
      <c r="I320" s="81">
        <f t="shared" si="89"/>
        <v>-9.0000000025611371E-2</v>
      </c>
      <c r="K320">
        <v>288026.34999999998</v>
      </c>
    </row>
    <row r="321" spans="2:11" ht="15.75" thickBot="1">
      <c r="C321" s="67">
        <v>21940</v>
      </c>
      <c r="D321" s="64">
        <v>3.55775</v>
      </c>
      <c r="E321" s="63">
        <f t="shared" si="90"/>
        <v>78057.039999999994</v>
      </c>
      <c r="F321" s="63">
        <f t="shared" si="92"/>
        <v>14050.27</v>
      </c>
      <c r="G321" s="63">
        <f t="shared" si="91"/>
        <v>92107.31</v>
      </c>
      <c r="H321">
        <v>92107.24</v>
      </c>
      <c r="I321" s="81">
        <f t="shared" si="89"/>
        <v>6.9999999992433004E-2</v>
      </c>
      <c r="K321">
        <v>78056.98</v>
      </c>
    </row>
    <row r="322" spans="2:11">
      <c r="C322" s="66">
        <v>24352</v>
      </c>
      <c r="D322" s="65">
        <v>3.6502500000000002</v>
      </c>
      <c r="E322" s="60">
        <f t="shared" si="90"/>
        <v>88890.89</v>
      </c>
      <c r="F322" s="60">
        <f t="shared" si="92"/>
        <v>16000.36</v>
      </c>
      <c r="G322" s="60">
        <f t="shared" si="91"/>
        <v>104891.25</v>
      </c>
      <c r="H322">
        <v>104891.21</v>
      </c>
      <c r="I322" s="81">
        <f t="shared" si="89"/>
        <v>3.9999999993597157E-2</v>
      </c>
      <c r="K322">
        <v>88890.86</v>
      </c>
    </row>
    <row r="323" spans="2:11" ht="15.75" thickBot="1">
      <c r="C323" s="67">
        <v>25065</v>
      </c>
      <c r="D323" s="64">
        <v>3.6929599999999998</v>
      </c>
      <c r="E323" s="63">
        <f>ROUND(C323*D323,2)</f>
        <v>92564.04</v>
      </c>
      <c r="F323" s="63">
        <f t="shared" si="92"/>
        <v>16661.53</v>
      </c>
      <c r="G323" s="63">
        <f t="shared" si="91"/>
        <v>109225.57</v>
      </c>
      <c r="H323">
        <v>109225.5</v>
      </c>
      <c r="I323" s="81">
        <f t="shared" si="89"/>
        <v>7.0000000006984919E-2</v>
      </c>
      <c r="K323">
        <v>92563.98</v>
      </c>
    </row>
    <row r="324" spans="2:11">
      <c r="C324" s="66">
        <v>20911</v>
      </c>
      <c r="D324" s="65">
        <v>3.7600500000000001</v>
      </c>
      <c r="E324" s="60">
        <f>ROUND(C324*D324,2)</f>
        <v>78626.41</v>
      </c>
      <c r="F324" s="60">
        <f t="shared" si="92"/>
        <v>14152.75</v>
      </c>
      <c r="G324" s="60">
        <f t="shared" si="91"/>
        <v>92779.16</v>
      </c>
      <c r="H324">
        <v>92779.08</v>
      </c>
      <c r="I324" s="81">
        <f t="shared" si="89"/>
        <v>8.000000000174623E-2</v>
      </c>
      <c r="K324">
        <v>78626.34</v>
      </c>
    </row>
    <row r="325" spans="2:11">
      <c r="B325" t="s">
        <v>58</v>
      </c>
      <c r="C325" s="85">
        <f>SUM(C316:C324)</f>
        <v>437583</v>
      </c>
      <c r="D325" s="86">
        <f>E325/C325</f>
        <v>3.5037796486609394</v>
      </c>
      <c r="E325" s="87">
        <f>SUM(E316:E324)</f>
        <v>1533194.41</v>
      </c>
      <c r="F325" s="87">
        <f>ROUND(E325*0.18,2)</f>
        <v>275974.99</v>
      </c>
      <c r="G325" s="87">
        <f t="shared" si="91"/>
        <v>1809169.4</v>
      </c>
      <c r="I325" s="81"/>
      <c r="K325">
        <f>SUM(K316:K324)</f>
        <v>1533194.58</v>
      </c>
    </row>
    <row r="326" spans="2:11">
      <c r="B326" t="s">
        <v>59</v>
      </c>
      <c r="C326" s="82">
        <v>437583</v>
      </c>
      <c r="D326" s="83">
        <v>3.5037799999999999</v>
      </c>
      <c r="E326" s="84">
        <v>1533194.58</v>
      </c>
      <c r="F326" s="84">
        <f>ROUND(E326*0.18,2)</f>
        <v>275975.02</v>
      </c>
      <c r="G326" s="84">
        <f>E326+F326</f>
        <v>1809169.6</v>
      </c>
      <c r="I326" s="81"/>
    </row>
    <row r="327" spans="2:11" ht="15.75" thickBot="1">
      <c r="C327" s="67">
        <v>1261</v>
      </c>
      <c r="D327" s="64">
        <v>525.58367999999996</v>
      </c>
      <c r="E327" s="63">
        <f>ROUND(C327*D327,2)</f>
        <v>662761.02</v>
      </c>
      <c r="F327" s="63">
        <f t="shared" si="92"/>
        <v>119296.98</v>
      </c>
      <c r="G327" s="63">
        <f t="shared" si="91"/>
        <v>782058</v>
      </c>
      <c r="H327">
        <v>782058</v>
      </c>
      <c r="I327" s="81">
        <f t="shared" si="89"/>
        <v>0</v>
      </c>
    </row>
    <row r="329" spans="2:11">
      <c r="D329" t="s">
        <v>58</v>
      </c>
      <c r="E329" s="89">
        <f>E325/C325</f>
        <v>3.5037796486609394</v>
      </c>
    </row>
    <row r="330" spans="2:11">
      <c r="D330" t="s">
        <v>59</v>
      </c>
      <c r="E330" s="89">
        <f>E326/C326</f>
        <v>3.5037800371586649</v>
      </c>
    </row>
  </sheetData>
  <mergeCells count="38">
    <mergeCell ref="A171:G171"/>
    <mergeCell ref="A120:G120"/>
    <mergeCell ref="A122:A123"/>
    <mergeCell ref="A137:G137"/>
    <mergeCell ref="A139:A140"/>
    <mergeCell ref="A154:G154"/>
    <mergeCell ref="A156:A157"/>
    <mergeCell ref="A103:G103"/>
    <mergeCell ref="A105:A106"/>
    <mergeCell ref="A188:G188"/>
    <mergeCell ref="A190:A191"/>
    <mergeCell ref="A316:A317"/>
    <mergeCell ref="A296:G296"/>
    <mergeCell ref="A298:A299"/>
    <mergeCell ref="A278:G278"/>
    <mergeCell ref="A280:A281"/>
    <mergeCell ref="A205:G205"/>
    <mergeCell ref="A37:A38"/>
    <mergeCell ref="A52:G52"/>
    <mergeCell ref="A54:A55"/>
    <mergeCell ref="A314:G314"/>
    <mergeCell ref="A260:A261"/>
    <mergeCell ref="A240:G240"/>
    <mergeCell ref="A242:A243"/>
    <mergeCell ref="A207:A208"/>
    <mergeCell ref="A222:G222"/>
    <mergeCell ref="A224:A225"/>
    <mergeCell ref="A69:G69"/>
    <mergeCell ref="A71:A72"/>
    <mergeCell ref="A86:G86"/>
    <mergeCell ref="A88:A89"/>
    <mergeCell ref="A258:G258"/>
    <mergeCell ref="A173:A174"/>
    <mergeCell ref="A1:G1"/>
    <mergeCell ref="A3:A4"/>
    <mergeCell ref="A18:G18"/>
    <mergeCell ref="A20:A21"/>
    <mergeCell ref="A35:G35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68"/>
  <sheetViews>
    <sheetView zoomScale="70" zoomScaleNormal="70" workbookViewId="0">
      <selection activeCell="R35" sqref="R35"/>
    </sheetView>
  </sheetViews>
  <sheetFormatPr defaultRowHeight="15.75"/>
  <cols>
    <col min="1" max="1" width="15.140625" style="1" customWidth="1"/>
    <col min="2" max="2" width="10.5703125" style="1" customWidth="1"/>
    <col min="3" max="3" width="10.85546875" style="1" customWidth="1"/>
    <col min="4" max="4" width="5.28515625" style="1" customWidth="1"/>
    <col min="5" max="5" width="13.28515625" style="1" customWidth="1"/>
    <col min="6" max="6" width="11.85546875" style="1" customWidth="1"/>
    <col min="7" max="7" width="13.7109375" style="1" customWidth="1"/>
    <col min="8" max="8" width="11.42578125" style="1" customWidth="1"/>
    <col min="9" max="9" width="11.7109375" style="1" customWidth="1"/>
    <col min="10" max="10" width="6.7109375" style="1" customWidth="1"/>
    <col min="11" max="11" width="12" style="1" customWidth="1"/>
    <col min="12" max="12" width="11.7109375" style="1" customWidth="1"/>
    <col min="13" max="13" width="14" style="1" customWidth="1"/>
    <col min="14" max="14" width="11.85546875" style="1" customWidth="1"/>
    <col min="15" max="15" width="9.7109375" style="1" customWidth="1"/>
    <col min="16" max="16" width="11" style="1" customWidth="1"/>
    <col min="17" max="17" width="12.85546875" style="1" customWidth="1"/>
    <col min="18" max="18" width="11.85546875" style="1" customWidth="1"/>
    <col min="19" max="19" width="12.85546875" style="1" customWidth="1"/>
    <col min="20" max="25" width="13.5703125" style="1" customWidth="1"/>
    <col min="26" max="30" width="12" style="1" customWidth="1"/>
    <col min="31" max="31" width="13.42578125" style="1" customWidth="1"/>
    <col min="32" max="35" width="12" style="1" customWidth="1"/>
    <col min="36" max="36" width="14.28515625" style="1" customWidth="1"/>
    <col min="37" max="37" width="12" style="1" customWidth="1"/>
    <col min="38" max="16384" width="9.140625" style="1"/>
  </cols>
  <sheetData>
    <row r="1" spans="1:25" ht="48.75" customHeight="1" thickBot="1">
      <c r="A1" s="183" t="s">
        <v>20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</row>
    <row r="2" spans="1:25" s="2" customFormat="1" ht="24.95" customHeight="1" thickTop="1" thickBot="1">
      <c r="A2" s="3"/>
      <c r="B2" s="195">
        <v>2008</v>
      </c>
      <c r="C2" s="196"/>
      <c r="D2" s="196"/>
      <c r="E2" s="196"/>
      <c r="F2" s="196"/>
      <c r="G2" s="197"/>
      <c r="H2" s="195">
        <v>2009</v>
      </c>
      <c r="I2" s="196"/>
      <c r="J2" s="196"/>
      <c r="K2" s="196"/>
      <c r="L2" s="196"/>
      <c r="M2" s="197"/>
      <c r="N2" s="195">
        <v>2010</v>
      </c>
      <c r="O2" s="196"/>
      <c r="P2" s="196"/>
      <c r="Q2" s="196"/>
      <c r="R2" s="196"/>
      <c r="S2" s="197"/>
    </row>
    <row r="3" spans="1:25" s="2" customFormat="1" ht="24.95" customHeight="1" thickBot="1">
      <c r="A3" s="3"/>
      <c r="B3" s="198" t="s">
        <v>12</v>
      </c>
      <c r="C3" s="199"/>
      <c r="D3" s="200" t="s">
        <v>13</v>
      </c>
      <c r="E3" s="199"/>
      <c r="F3" s="200" t="s">
        <v>24</v>
      </c>
      <c r="G3" s="201"/>
      <c r="H3" s="198" t="s">
        <v>12</v>
      </c>
      <c r="I3" s="199"/>
      <c r="J3" s="200" t="s">
        <v>13</v>
      </c>
      <c r="K3" s="199"/>
      <c r="L3" s="200" t="s">
        <v>24</v>
      </c>
      <c r="M3" s="201"/>
      <c r="N3" s="198" t="s">
        <v>12</v>
      </c>
      <c r="O3" s="199"/>
      <c r="P3" s="200" t="s">
        <v>13</v>
      </c>
      <c r="Q3" s="199"/>
      <c r="R3" s="200" t="s">
        <v>24</v>
      </c>
      <c r="S3" s="201"/>
    </row>
    <row r="4" spans="1:25" s="2" customFormat="1" ht="24.95" customHeight="1">
      <c r="A4" s="5" t="s">
        <v>0</v>
      </c>
      <c r="B4" s="214">
        <v>444670</v>
      </c>
      <c r="C4" s="215"/>
      <c r="D4" s="218">
        <v>1.75</v>
      </c>
      <c r="E4" s="219"/>
      <c r="F4" s="218">
        <f t="shared" ref="F4:F11" si="0">B4*D4</f>
        <v>778172.5</v>
      </c>
      <c r="G4" s="223"/>
      <c r="H4" s="227">
        <v>260761</v>
      </c>
      <c r="I4" s="219"/>
      <c r="J4" s="218">
        <v>2.0299999999999998</v>
      </c>
      <c r="K4" s="219"/>
      <c r="L4" s="218">
        <f>H4*J4</f>
        <v>529344.82999999996</v>
      </c>
      <c r="M4" s="223"/>
      <c r="N4" s="40">
        <v>135437</v>
      </c>
      <c r="O4" s="41">
        <v>203156</v>
      </c>
      <c r="P4" s="45">
        <v>2.1779999999999999</v>
      </c>
      <c r="Q4" s="46">
        <v>2.8494915000000001</v>
      </c>
      <c r="R4" s="49">
        <f>N4*P4</f>
        <v>294981.78599999996</v>
      </c>
      <c r="S4" s="50">
        <f>O4*Q4</f>
        <v>578891.29517399997</v>
      </c>
    </row>
    <row r="5" spans="1:25" s="2" customFormat="1" ht="24.95" customHeight="1">
      <c r="A5" s="6" t="s">
        <v>1</v>
      </c>
      <c r="B5" s="216">
        <v>497858</v>
      </c>
      <c r="C5" s="217"/>
      <c r="D5" s="212">
        <v>1.75</v>
      </c>
      <c r="E5" s="213"/>
      <c r="F5" s="212">
        <f t="shared" si="0"/>
        <v>871251.5</v>
      </c>
      <c r="G5" s="222"/>
      <c r="H5" s="228">
        <v>304626</v>
      </c>
      <c r="I5" s="213"/>
      <c r="J5" s="212">
        <v>2.0299999999999998</v>
      </c>
      <c r="K5" s="213"/>
      <c r="L5" s="212">
        <f>H5*J5</f>
        <v>618390.77999999991</v>
      </c>
      <c r="M5" s="222"/>
      <c r="N5" s="42">
        <v>135302</v>
      </c>
      <c r="O5" s="28">
        <v>202952</v>
      </c>
      <c r="P5" s="47">
        <v>2.1779999999999999</v>
      </c>
      <c r="Q5" s="36">
        <v>2.7530899999999998</v>
      </c>
      <c r="R5" s="29">
        <f>N5*P5</f>
        <v>294687.75599999999</v>
      </c>
      <c r="S5" s="31">
        <f>O5*Q5</f>
        <v>558745.12167999998</v>
      </c>
    </row>
    <row r="6" spans="1:25" s="2" customFormat="1" ht="24.95" customHeight="1">
      <c r="A6" s="6" t="s">
        <v>2</v>
      </c>
      <c r="B6" s="216">
        <v>540427</v>
      </c>
      <c r="C6" s="217"/>
      <c r="D6" s="212">
        <v>1.75</v>
      </c>
      <c r="E6" s="213"/>
      <c r="F6" s="212">
        <f t="shared" si="0"/>
        <v>945747.25</v>
      </c>
      <c r="G6" s="222"/>
      <c r="H6" s="228">
        <v>308929</v>
      </c>
      <c r="I6" s="213"/>
      <c r="J6" s="212">
        <v>2.0299999999999998</v>
      </c>
      <c r="K6" s="213"/>
      <c r="L6" s="212">
        <f t="shared" ref="L6:L7" si="1">H6*J6</f>
        <v>627125.87</v>
      </c>
      <c r="M6" s="222"/>
      <c r="N6" s="42">
        <v>137561</v>
      </c>
      <c r="O6" s="28">
        <v>206341</v>
      </c>
      <c r="P6" s="47">
        <v>2.1779999999999999</v>
      </c>
      <c r="Q6" s="36">
        <v>3.7035110000000002</v>
      </c>
      <c r="R6" s="29">
        <f t="shared" ref="R6:R14" si="2">N6*P6</f>
        <v>299607.85800000001</v>
      </c>
      <c r="S6" s="31">
        <f t="shared" ref="S6:S13" si="3">O6*Q6</f>
        <v>764186.16325099999</v>
      </c>
    </row>
    <row r="7" spans="1:25" s="2" customFormat="1" ht="24.95" customHeight="1">
      <c r="A7" s="6" t="s">
        <v>3</v>
      </c>
      <c r="B7" s="27">
        <v>520945</v>
      </c>
      <c r="C7" s="28">
        <v>211347</v>
      </c>
      <c r="D7" s="29">
        <v>1.75</v>
      </c>
      <c r="E7" s="30">
        <v>2.40002</v>
      </c>
      <c r="F7" s="29">
        <f t="shared" si="0"/>
        <v>911653.75</v>
      </c>
      <c r="G7" s="31">
        <f>C7*E7</f>
        <v>507237.02694000001</v>
      </c>
      <c r="H7" s="228">
        <v>248318</v>
      </c>
      <c r="I7" s="213"/>
      <c r="J7" s="212">
        <v>2.0299999999999998</v>
      </c>
      <c r="K7" s="213"/>
      <c r="L7" s="212">
        <f t="shared" si="1"/>
        <v>504085.54</v>
      </c>
      <c r="M7" s="222"/>
      <c r="N7" s="42">
        <v>233495</v>
      </c>
      <c r="O7" s="28">
        <v>350243</v>
      </c>
      <c r="P7" s="47">
        <v>2.1779999999999999</v>
      </c>
      <c r="Q7" s="36">
        <v>2.7699075</v>
      </c>
      <c r="R7" s="29">
        <f t="shared" si="2"/>
        <v>508552.11</v>
      </c>
      <c r="S7" s="31">
        <f t="shared" si="3"/>
        <v>970140.71252249996</v>
      </c>
    </row>
    <row r="8" spans="1:25" s="2" customFormat="1" ht="24.95" customHeight="1">
      <c r="A8" s="6" t="s">
        <v>4</v>
      </c>
      <c r="B8" s="225">
        <v>331545</v>
      </c>
      <c r="C8" s="226"/>
      <c r="D8" s="220">
        <v>1.75</v>
      </c>
      <c r="E8" s="221"/>
      <c r="F8" s="220">
        <f t="shared" si="0"/>
        <v>580203.75</v>
      </c>
      <c r="G8" s="224"/>
      <c r="H8" s="32">
        <v>137490</v>
      </c>
      <c r="I8" s="33">
        <v>58925</v>
      </c>
      <c r="J8" s="29">
        <v>2.0299999999999998</v>
      </c>
      <c r="K8" s="36">
        <v>3.0605500000000001</v>
      </c>
      <c r="L8" s="29">
        <f>H8*J8</f>
        <v>279104.69999999995</v>
      </c>
      <c r="M8" s="31">
        <f>I8*K8</f>
        <v>180342.90875</v>
      </c>
      <c r="N8" s="42">
        <v>125792</v>
      </c>
      <c r="O8" s="28">
        <v>188688</v>
      </c>
      <c r="P8" s="47">
        <v>2.1779999999999999</v>
      </c>
      <c r="Q8" s="36">
        <v>3.0929039</v>
      </c>
      <c r="R8" s="29">
        <f t="shared" si="2"/>
        <v>273974.97599999997</v>
      </c>
      <c r="S8" s="31">
        <f t="shared" si="3"/>
        <v>583593.85108319996</v>
      </c>
    </row>
    <row r="9" spans="1:25" s="2" customFormat="1" ht="24.95" customHeight="1">
      <c r="A9" s="6" t="s">
        <v>5</v>
      </c>
      <c r="B9" s="225">
        <v>331062</v>
      </c>
      <c r="C9" s="226"/>
      <c r="D9" s="220">
        <v>1.75</v>
      </c>
      <c r="E9" s="221"/>
      <c r="F9" s="220">
        <f t="shared" si="0"/>
        <v>579358.5</v>
      </c>
      <c r="G9" s="224"/>
      <c r="H9" s="32">
        <v>76362</v>
      </c>
      <c r="I9" s="33">
        <v>32726</v>
      </c>
      <c r="J9" s="29">
        <v>2.0299999999999998</v>
      </c>
      <c r="K9" s="36">
        <v>4.5141999999999998</v>
      </c>
      <c r="L9" s="29">
        <f t="shared" ref="L9:L14" si="4">H9*J9</f>
        <v>155014.85999999999</v>
      </c>
      <c r="M9" s="31">
        <f t="shared" ref="M9:M14" si="5">I9*K9</f>
        <v>147731.70919999998</v>
      </c>
      <c r="N9" s="42">
        <v>133382</v>
      </c>
      <c r="O9" s="28">
        <v>200074</v>
      </c>
      <c r="P9" s="47">
        <v>2.1779999999999999</v>
      </c>
      <c r="Q9" s="36">
        <v>2.7417945000000001</v>
      </c>
      <c r="R9" s="29">
        <f t="shared" si="2"/>
        <v>290505.99599999998</v>
      </c>
      <c r="S9" s="31">
        <f t="shared" si="3"/>
        <v>548561.792793</v>
      </c>
    </row>
    <row r="10" spans="1:25" s="2" customFormat="1" ht="24.95" customHeight="1">
      <c r="A10" s="6" t="s">
        <v>6</v>
      </c>
      <c r="B10" s="27">
        <v>467410</v>
      </c>
      <c r="C10" s="28">
        <v>15034</v>
      </c>
      <c r="D10" s="29">
        <v>1.75</v>
      </c>
      <c r="E10" s="30">
        <v>2.3180000000000001</v>
      </c>
      <c r="F10" s="29">
        <f t="shared" si="0"/>
        <v>817967.5</v>
      </c>
      <c r="G10" s="31">
        <f>C10*E10</f>
        <v>34848.811999999998</v>
      </c>
      <c r="H10" s="32">
        <v>18001</v>
      </c>
      <c r="I10" s="33">
        <v>18000</v>
      </c>
      <c r="J10" s="29">
        <v>2.0299999999999998</v>
      </c>
      <c r="K10" s="36">
        <v>2.4473099999999999</v>
      </c>
      <c r="L10" s="29">
        <f t="shared" si="4"/>
        <v>36542.03</v>
      </c>
      <c r="M10" s="31">
        <f t="shared" si="5"/>
        <v>44051.579999999994</v>
      </c>
      <c r="N10" s="42">
        <v>66216</v>
      </c>
      <c r="O10" s="28">
        <v>264866</v>
      </c>
      <c r="P10" s="47">
        <v>2.1779999999999999</v>
      </c>
      <c r="Q10" s="36">
        <v>2.6800573000000001</v>
      </c>
      <c r="R10" s="29">
        <f t="shared" si="2"/>
        <v>144218.448</v>
      </c>
      <c r="S10" s="31">
        <f t="shared" si="3"/>
        <v>709856.05682180007</v>
      </c>
    </row>
    <row r="11" spans="1:25" s="2" customFormat="1" ht="24.95" customHeight="1">
      <c r="A11" s="6" t="s">
        <v>7</v>
      </c>
      <c r="B11" s="210">
        <v>213609</v>
      </c>
      <c r="C11" s="211"/>
      <c r="D11" s="212">
        <v>1.75</v>
      </c>
      <c r="E11" s="213"/>
      <c r="F11" s="212">
        <f t="shared" si="0"/>
        <v>373815.75</v>
      </c>
      <c r="G11" s="222"/>
      <c r="H11" s="32">
        <v>59351</v>
      </c>
      <c r="I11" s="33">
        <v>59351</v>
      </c>
      <c r="J11" s="29">
        <v>2.0299999999999998</v>
      </c>
      <c r="K11" s="36">
        <v>2.4967171000000001</v>
      </c>
      <c r="L11" s="29">
        <f t="shared" si="4"/>
        <v>120482.52999999998</v>
      </c>
      <c r="M11" s="31">
        <f t="shared" si="5"/>
        <v>148182.6566021</v>
      </c>
      <c r="N11" s="42">
        <v>72777</v>
      </c>
      <c r="O11" s="28">
        <v>291109</v>
      </c>
      <c r="P11" s="47">
        <v>2.1779999999999999</v>
      </c>
      <c r="Q11" s="36">
        <v>3.0440953999999998</v>
      </c>
      <c r="R11" s="29">
        <f t="shared" si="2"/>
        <v>158508.30599999998</v>
      </c>
      <c r="S11" s="31">
        <f t="shared" si="3"/>
        <v>886163.56779859995</v>
      </c>
    </row>
    <row r="12" spans="1:25" s="2" customFormat="1" ht="24.95" customHeight="1">
      <c r="A12" s="6" t="s">
        <v>8</v>
      </c>
      <c r="B12" s="210">
        <v>237783</v>
      </c>
      <c r="C12" s="211"/>
      <c r="D12" s="212">
        <v>1.75</v>
      </c>
      <c r="E12" s="213"/>
      <c r="F12" s="212">
        <f t="shared" ref="F12:F14" si="6">B12*D12</f>
        <v>416120.25</v>
      </c>
      <c r="G12" s="222"/>
      <c r="H12" s="32">
        <v>69153</v>
      </c>
      <c r="I12" s="33">
        <v>69152</v>
      </c>
      <c r="J12" s="29">
        <v>2.0299999999999998</v>
      </c>
      <c r="K12" s="36">
        <v>3.8038007999999999</v>
      </c>
      <c r="L12" s="29">
        <f t="shared" si="4"/>
        <v>140380.59</v>
      </c>
      <c r="M12" s="31">
        <f t="shared" si="5"/>
        <v>263040.4329216</v>
      </c>
      <c r="N12" s="42">
        <v>82382</v>
      </c>
      <c r="O12" s="28">
        <v>329527</v>
      </c>
      <c r="P12" s="47">
        <v>2.1779999999999999</v>
      </c>
      <c r="Q12" s="36">
        <v>3.3389441999999998</v>
      </c>
      <c r="R12" s="29">
        <f t="shared" si="2"/>
        <v>179427.99599999998</v>
      </c>
      <c r="S12" s="31">
        <f t="shared" si="3"/>
        <v>1100272.2653933999</v>
      </c>
    </row>
    <row r="13" spans="1:25" s="2" customFormat="1" ht="24.95" customHeight="1">
      <c r="A13" s="6" t="s">
        <v>9</v>
      </c>
      <c r="B13" s="210">
        <v>317473</v>
      </c>
      <c r="C13" s="211"/>
      <c r="D13" s="212">
        <v>1.87</v>
      </c>
      <c r="E13" s="213"/>
      <c r="F13" s="212">
        <f t="shared" si="6"/>
        <v>593674.51</v>
      </c>
      <c r="G13" s="222"/>
      <c r="H13" s="32">
        <v>72714</v>
      </c>
      <c r="I13" s="33">
        <v>72713</v>
      </c>
      <c r="J13" s="29">
        <v>2.0299999999999998</v>
      </c>
      <c r="K13" s="36">
        <v>3.8903791000000001</v>
      </c>
      <c r="L13" s="29">
        <f t="shared" si="4"/>
        <v>147609.41999999998</v>
      </c>
      <c r="M13" s="31">
        <f t="shared" si="5"/>
        <v>282881.13549830002</v>
      </c>
      <c r="N13" s="42">
        <v>93406</v>
      </c>
      <c r="O13" s="28">
        <v>373624</v>
      </c>
      <c r="P13" s="47">
        <v>2.1779999999999999</v>
      </c>
      <c r="Q13" s="36">
        <v>2.7239111</v>
      </c>
      <c r="R13" s="29">
        <f t="shared" si="2"/>
        <v>203438.26799999998</v>
      </c>
      <c r="S13" s="31">
        <f t="shared" si="3"/>
        <v>1017718.5608264001</v>
      </c>
    </row>
    <row r="14" spans="1:25" s="2" customFormat="1" ht="24.95" customHeight="1">
      <c r="A14" s="6" t="s">
        <v>10</v>
      </c>
      <c r="B14" s="210">
        <v>254082</v>
      </c>
      <c r="C14" s="211"/>
      <c r="D14" s="212">
        <v>1.87</v>
      </c>
      <c r="E14" s="213"/>
      <c r="F14" s="212">
        <f t="shared" si="6"/>
        <v>475133.34</v>
      </c>
      <c r="G14" s="222"/>
      <c r="H14" s="32">
        <v>139868</v>
      </c>
      <c r="I14" s="33">
        <v>139868</v>
      </c>
      <c r="J14" s="29">
        <v>2.0299999999999998</v>
      </c>
      <c r="K14" s="36">
        <v>2.9418742</v>
      </c>
      <c r="L14" s="29">
        <f t="shared" si="4"/>
        <v>283932.03999999998</v>
      </c>
      <c r="M14" s="31">
        <f t="shared" si="5"/>
        <v>411474.06060560001</v>
      </c>
      <c r="N14" s="42">
        <v>99983</v>
      </c>
      <c r="O14" s="28">
        <v>399930</v>
      </c>
      <c r="P14" s="47">
        <v>2.1779999999999999</v>
      </c>
      <c r="Q14" s="36">
        <v>2.8851895999999999</v>
      </c>
      <c r="R14" s="29">
        <f t="shared" si="2"/>
        <v>217762.97399999999</v>
      </c>
      <c r="S14" s="31">
        <f>O14*Q14</f>
        <v>1153873.8767279999</v>
      </c>
    </row>
    <row r="15" spans="1:25" s="2" customFormat="1" ht="24.95" customHeight="1" thickBot="1">
      <c r="A15" s="7" t="s">
        <v>11</v>
      </c>
      <c r="B15" s="244">
        <v>199936</v>
      </c>
      <c r="C15" s="245"/>
      <c r="D15" s="246">
        <f>F15/B15</f>
        <v>2.0236857794494241</v>
      </c>
      <c r="E15" s="247"/>
      <c r="F15" s="248">
        <v>404607.64</v>
      </c>
      <c r="G15" s="249"/>
      <c r="H15" s="34">
        <v>148076</v>
      </c>
      <c r="I15" s="35">
        <v>148076</v>
      </c>
      <c r="J15" s="37">
        <v>2.0299999999999998</v>
      </c>
      <c r="K15" s="38">
        <v>3.1072329000000001</v>
      </c>
      <c r="L15" s="37">
        <f>H15*J15</f>
        <v>300594.27999999997</v>
      </c>
      <c r="M15" s="39">
        <f>I15*K15</f>
        <v>460106.6189004</v>
      </c>
      <c r="N15" s="43">
        <v>103234</v>
      </c>
      <c r="O15" s="44">
        <v>412935</v>
      </c>
      <c r="P15" s="48">
        <v>2.1779999999999999</v>
      </c>
      <c r="Q15" s="38">
        <v>2.7596824999999998</v>
      </c>
      <c r="R15" s="37">
        <f>N15*P15</f>
        <v>224843.652</v>
      </c>
      <c r="S15" s="39">
        <f>Q15*O15</f>
        <v>1139569.4931375</v>
      </c>
    </row>
    <row r="16" spans="1:25" s="2" customFormat="1" ht="24.95" customHeight="1" thickTop="1">
      <c r="A16" s="4"/>
      <c r="B16" s="251">
        <f>B4+B5+B6+B7+C7+B8+B9+B10+C10+B11+B12+B13+B14+B15+C15</f>
        <v>4583181</v>
      </c>
      <c r="C16" s="253"/>
      <c r="D16" s="252">
        <f>F16/B16</f>
        <v>1.8087420241400023</v>
      </c>
      <c r="E16" s="252"/>
      <c r="F16" s="250">
        <f>F4+F5+F6+F7+G7+F8+F9+F10+G10+F11+F12+F13+F14+F15+G15</f>
        <v>8289792.0789399995</v>
      </c>
      <c r="G16" s="250"/>
      <c r="H16" s="250">
        <f>H4+H5+H6+H7+H8+H9+H10+H11+H12+H13+H14+H15+I15+I14+I13+I12+I11+I10+I9+I8</f>
        <v>2442460</v>
      </c>
      <c r="I16" s="250"/>
      <c r="J16" s="252">
        <f>L16/H16</f>
        <v>2.3256956398377042</v>
      </c>
      <c r="K16" s="252"/>
      <c r="L16" s="250">
        <f>L4+L5+L6+L7+L8+M8+L9+M9+L10+M10+L11+M11+L12+M12+L13+M13+L14+M14+L15+M15</f>
        <v>5680418.5724779991</v>
      </c>
      <c r="M16" s="250"/>
      <c r="N16" s="251">
        <f>N4+O4+N5+O5+N6+O6+N7+O7+N8+O8+N9+O9+N10+O10+N11+O11+N12+O12+N13+O13+N14+O14+N15+O15</f>
        <v>4842412</v>
      </c>
      <c r="O16" s="251"/>
      <c r="P16" s="252">
        <f>R16/N16</f>
        <v>2.7056935434674703</v>
      </c>
      <c r="Q16" s="252"/>
      <c r="R16" s="250">
        <f>R4+R5+R6+R7+R8+R9+R10+R11+R12+R13+R14+R15+S4+S5+S6+S7+S8+S9+S10+S11+S12+S13+S14+S15</f>
        <v>13102082.8832094</v>
      </c>
      <c r="S16" s="250"/>
    </row>
    <row r="17" spans="1:19" s="2" customFormat="1" ht="24.95" customHeight="1">
      <c r="A17" s="4"/>
      <c r="B17" s="4"/>
      <c r="C17" s="11"/>
      <c r="D17" s="12"/>
      <c r="E17" s="12"/>
      <c r="F17" s="13"/>
      <c r="G17" s="13"/>
      <c r="H17" s="13"/>
      <c r="I17" s="13"/>
      <c r="J17" s="13"/>
      <c r="K17" s="14"/>
      <c r="L17" s="13"/>
      <c r="M17" s="13"/>
      <c r="N17" s="11"/>
      <c r="O17" s="11"/>
      <c r="P17" s="15"/>
      <c r="Q17" s="14"/>
      <c r="R17" s="13"/>
      <c r="S17" s="13"/>
    </row>
    <row r="18" spans="1:19" ht="24.95" customHeight="1" thickBot="1"/>
    <row r="19" spans="1:19" ht="24.95" customHeight="1" thickTop="1" thickBot="1">
      <c r="A19" s="3"/>
      <c r="B19" s="233">
        <v>2011</v>
      </c>
      <c r="C19" s="234"/>
      <c r="D19" s="234"/>
      <c r="E19" s="234"/>
      <c r="F19" s="234"/>
      <c r="G19" s="235"/>
      <c r="H19" s="195">
        <v>2012</v>
      </c>
      <c r="I19" s="196"/>
      <c r="J19" s="196"/>
      <c r="K19" s="196"/>
      <c r="L19" s="196"/>
      <c r="M19" s="197"/>
    </row>
    <row r="20" spans="1:19" ht="24.95" customHeight="1" thickBot="1">
      <c r="A20" s="3"/>
      <c r="B20" s="198" t="s">
        <v>12</v>
      </c>
      <c r="C20" s="199"/>
      <c r="D20" s="200" t="s">
        <v>13</v>
      </c>
      <c r="E20" s="199"/>
      <c r="F20" s="200" t="s">
        <v>24</v>
      </c>
      <c r="G20" s="201"/>
      <c r="H20" s="198" t="s">
        <v>12</v>
      </c>
      <c r="I20" s="199"/>
      <c r="J20" s="200" t="s">
        <v>13</v>
      </c>
      <c r="K20" s="199"/>
      <c r="L20" s="200" t="s">
        <v>24</v>
      </c>
      <c r="M20" s="201"/>
    </row>
    <row r="21" spans="1:19" ht="24.95" customHeight="1">
      <c r="A21" s="8" t="s">
        <v>0</v>
      </c>
      <c r="B21" s="236">
        <v>441787</v>
      </c>
      <c r="C21" s="237"/>
      <c r="D21" s="238">
        <v>3.2298330000000002</v>
      </c>
      <c r="E21" s="239"/>
      <c r="F21" s="206">
        <v>1426898.23</v>
      </c>
      <c r="G21" s="207"/>
      <c r="H21" s="202">
        <v>565445</v>
      </c>
      <c r="I21" s="203"/>
      <c r="J21" s="208">
        <v>3.38435</v>
      </c>
      <c r="K21" s="209"/>
      <c r="L21" s="206">
        <f>H21*J21</f>
        <v>1913663.78575</v>
      </c>
      <c r="M21" s="207"/>
    </row>
    <row r="22" spans="1:19" ht="24.95" customHeight="1">
      <c r="A22" s="9" t="s">
        <v>1</v>
      </c>
      <c r="B22" s="231">
        <v>677049</v>
      </c>
      <c r="C22" s="232"/>
      <c r="D22" s="240">
        <v>3.4851730000000001</v>
      </c>
      <c r="E22" s="241"/>
      <c r="F22" s="189">
        <f>B22*D22</f>
        <v>2359632.894477</v>
      </c>
      <c r="G22" s="190"/>
      <c r="H22" s="185">
        <v>622894</v>
      </c>
      <c r="I22" s="186"/>
      <c r="J22" s="187">
        <v>3.1771600000000002</v>
      </c>
      <c r="K22" s="188"/>
      <c r="L22" s="189">
        <f>H22*J22</f>
        <v>1979033.9010400001</v>
      </c>
      <c r="M22" s="190"/>
    </row>
    <row r="23" spans="1:19" ht="24.95" customHeight="1">
      <c r="A23" s="9" t="s">
        <v>2</v>
      </c>
      <c r="B23" s="231">
        <v>830718</v>
      </c>
      <c r="C23" s="232"/>
      <c r="D23" s="240">
        <v>3.5737329999999998</v>
      </c>
      <c r="E23" s="241"/>
      <c r="F23" s="189">
        <f t="shared" ref="F23:F31" si="7">B23*D23</f>
        <v>2968764.330294</v>
      </c>
      <c r="G23" s="190"/>
      <c r="H23" s="185">
        <v>608786</v>
      </c>
      <c r="I23" s="186"/>
      <c r="J23" s="187">
        <v>3.2253599999999998</v>
      </c>
      <c r="K23" s="188"/>
      <c r="L23" s="189">
        <f t="shared" ref="L23:L31" si="8">H23*J23</f>
        <v>1963554.01296</v>
      </c>
      <c r="M23" s="190"/>
    </row>
    <row r="24" spans="1:19" ht="24.95" customHeight="1">
      <c r="A24" s="9" t="s">
        <v>3</v>
      </c>
      <c r="B24" s="231">
        <v>689871</v>
      </c>
      <c r="C24" s="232"/>
      <c r="D24" s="240">
        <v>3.6731530000000001</v>
      </c>
      <c r="E24" s="241"/>
      <c r="F24" s="189">
        <f t="shared" si="7"/>
        <v>2534001.7332629999</v>
      </c>
      <c r="G24" s="190"/>
      <c r="H24" s="185">
        <v>442535</v>
      </c>
      <c r="I24" s="186"/>
      <c r="J24" s="187">
        <v>2.8700299999999999</v>
      </c>
      <c r="K24" s="188"/>
      <c r="L24" s="189">
        <f t="shared" si="8"/>
        <v>1270088.7260499999</v>
      </c>
      <c r="M24" s="190"/>
    </row>
    <row r="25" spans="1:19" ht="24.95" customHeight="1">
      <c r="A25" s="9" t="s">
        <v>4</v>
      </c>
      <c r="B25" s="231">
        <v>284956</v>
      </c>
      <c r="C25" s="232"/>
      <c r="D25" s="240">
        <v>3.2326079999999999</v>
      </c>
      <c r="E25" s="241"/>
      <c r="F25" s="189">
        <f t="shared" si="7"/>
        <v>921151.04524799995</v>
      </c>
      <c r="G25" s="190"/>
      <c r="H25" s="185">
        <v>360028</v>
      </c>
      <c r="I25" s="186"/>
      <c r="J25" s="187">
        <v>2.8984899999999998</v>
      </c>
      <c r="K25" s="188"/>
      <c r="L25" s="189">
        <f t="shared" si="8"/>
        <v>1043537.5577199999</v>
      </c>
      <c r="M25" s="190"/>
    </row>
    <row r="26" spans="1:19" ht="24.95" customHeight="1">
      <c r="A26" s="9" t="s">
        <v>5</v>
      </c>
      <c r="B26" s="231">
        <v>284956</v>
      </c>
      <c r="C26" s="232"/>
      <c r="D26" s="240">
        <f>F26/B26</f>
        <v>2.2673735594267184</v>
      </c>
      <c r="E26" s="241"/>
      <c r="F26" s="189">
        <v>646101.69999999995</v>
      </c>
      <c r="G26" s="190"/>
      <c r="H26" s="185">
        <v>387611</v>
      </c>
      <c r="I26" s="186"/>
      <c r="J26" s="187">
        <v>2.9414400000000001</v>
      </c>
      <c r="K26" s="188"/>
      <c r="L26" s="189">
        <f t="shared" si="8"/>
        <v>1140134.4998399999</v>
      </c>
      <c r="M26" s="190"/>
    </row>
    <row r="27" spans="1:19" ht="24.95" customHeight="1">
      <c r="A27" s="9" t="s">
        <v>6</v>
      </c>
      <c r="B27" s="231">
        <v>247773</v>
      </c>
      <c r="C27" s="232"/>
      <c r="D27" s="240">
        <v>3.1909580000000002</v>
      </c>
      <c r="E27" s="241"/>
      <c r="F27" s="189">
        <f t="shared" si="7"/>
        <v>790633.23653400003</v>
      </c>
      <c r="G27" s="190"/>
      <c r="H27" s="185">
        <v>456887</v>
      </c>
      <c r="I27" s="186"/>
      <c r="J27" s="187">
        <v>3.4188700000000001</v>
      </c>
      <c r="K27" s="188"/>
      <c r="L27" s="189">
        <f t="shared" si="8"/>
        <v>1562037.2576900001</v>
      </c>
      <c r="M27" s="190"/>
    </row>
    <row r="28" spans="1:19" ht="24.95" customHeight="1">
      <c r="A28" s="9" t="s">
        <v>7</v>
      </c>
      <c r="B28" s="231">
        <v>289783</v>
      </c>
      <c r="C28" s="232"/>
      <c r="D28" s="240">
        <v>3.087818</v>
      </c>
      <c r="E28" s="241"/>
      <c r="F28" s="189">
        <f t="shared" si="7"/>
        <v>894797.16349399998</v>
      </c>
      <c r="G28" s="190"/>
      <c r="H28" s="185">
        <v>457505</v>
      </c>
      <c r="I28" s="186"/>
      <c r="J28" s="187">
        <v>3.4971800000000002</v>
      </c>
      <c r="K28" s="188"/>
      <c r="L28" s="189">
        <f t="shared" si="8"/>
        <v>1599977.3359000001</v>
      </c>
      <c r="M28" s="190"/>
    </row>
    <row r="29" spans="1:19" ht="24.95" customHeight="1">
      <c r="A29" s="9" t="s">
        <v>8</v>
      </c>
      <c r="B29" s="231">
        <v>500217</v>
      </c>
      <c r="C29" s="232"/>
      <c r="D29" s="240">
        <v>3.2269380000000001</v>
      </c>
      <c r="E29" s="241"/>
      <c r="F29" s="189">
        <f t="shared" si="7"/>
        <v>1614169.2455460001</v>
      </c>
      <c r="G29" s="190"/>
      <c r="H29" s="185">
        <v>398102</v>
      </c>
      <c r="I29" s="186"/>
      <c r="J29" s="187">
        <v>3.4251399999999999</v>
      </c>
      <c r="K29" s="188"/>
      <c r="L29" s="189">
        <f t="shared" si="8"/>
        <v>1363555.0842799998</v>
      </c>
      <c r="M29" s="190"/>
    </row>
    <row r="30" spans="1:19" ht="24.95" customHeight="1">
      <c r="A30" s="9" t="s">
        <v>9</v>
      </c>
      <c r="B30" s="231">
        <v>429799</v>
      </c>
      <c r="C30" s="232"/>
      <c r="D30" s="240">
        <v>3.2376079999999998</v>
      </c>
      <c r="E30" s="241"/>
      <c r="F30" s="189">
        <f t="shared" si="7"/>
        <v>1391520.6807919999</v>
      </c>
      <c r="G30" s="190"/>
      <c r="H30" s="185">
        <v>449710</v>
      </c>
      <c r="I30" s="186"/>
      <c r="J30" s="187">
        <v>3.4243800000000002</v>
      </c>
      <c r="K30" s="188"/>
      <c r="L30" s="189">
        <f t="shared" si="8"/>
        <v>1539977.9298</v>
      </c>
      <c r="M30" s="190"/>
    </row>
    <row r="31" spans="1:19" ht="24.95" customHeight="1">
      <c r="A31" s="9" t="s">
        <v>10</v>
      </c>
      <c r="B31" s="231">
        <v>527937</v>
      </c>
      <c r="C31" s="232"/>
      <c r="D31" s="240">
        <v>3.2306379999999999</v>
      </c>
      <c r="E31" s="241"/>
      <c r="F31" s="189">
        <f t="shared" si="7"/>
        <v>1705573.333806</v>
      </c>
      <c r="G31" s="190"/>
      <c r="H31" s="185">
        <v>512743</v>
      </c>
      <c r="I31" s="186"/>
      <c r="J31" s="187">
        <v>3.3696100000000002</v>
      </c>
      <c r="K31" s="188"/>
      <c r="L31" s="189">
        <f t="shared" si="8"/>
        <v>1727743.9402300001</v>
      </c>
      <c r="M31" s="190"/>
    </row>
    <row r="32" spans="1:19" ht="24.95" customHeight="1" thickBot="1">
      <c r="A32" s="10" t="s">
        <v>11</v>
      </c>
      <c r="B32" s="229">
        <v>589718</v>
      </c>
      <c r="C32" s="230"/>
      <c r="D32" s="242">
        <v>3.1464279999999998</v>
      </c>
      <c r="E32" s="243"/>
      <c r="F32" s="177">
        <f>B32*D32</f>
        <v>1855505.2273039999</v>
      </c>
      <c r="G32" s="178"/>
      <c r="H32" s="193">
        <v>689191</v>
      </c>
      <c r="I32" s="194"/>
      <c r="J32" s="175">
        <v>3.3913099999999998</v>
      </c>
      <c r="K32" s="176"/>
      <c r="L32" s="177">
        <f>H32*J32</f>
        <v>2337260.3302099998</v>
      </c>
      <c r="M32" s="178"/>
      <c r="O32" s="51"/>
    </row>
    <row r="33" spans="1:15" ht="26.25" customHeight="1" thickTop="1">
      <c r="B33" s="180">
        <f>SUM(B22:B32)</f>
        <v>5352777</v>
      </c>
      <c r="C33" s="180"/>
      <c r="D33" s="181">
        <f>F33/B33</f>
        <v>3.303304171042059</v>
      </c>
      <c r="E33" s="181"/>
      <c r="F33" s="182">
        <f>SUM(F22:F32)</f>
        <v>17681850.590758</v>
      </c>
      <c r="G33" s="180"/>
      <c r="H33" s="179">
        <f>SUM(H21:H32)</f>
        <v>5951437</v>
      </c>
      <c r="I33" s="180"/>
      <c r="J33" s="181">
        <f>L33/H33</f>
        <v>3.2665328325696801</v>
      </c>
      <c r="K33" s="181"/>
      <c r="L33" s="182">
        <f>SUM(L21:L32)</f>
        <v>19440564.361469999</v>
      </c>
      <c r="M33" s="180"/>
    </row>
    <row r="34" spans="1:15">
      <c r="L34" s="1" t="s">
        <v>21</v>
      </c>
      <c r="N34" s="1">
        <f>603+640+511+987+800+943+980+983+777+1183+678+572</f>
        <v>9657</v>
      </c>
      <c r="O34" s="1">
        <v>4193</v>
      </c>
    </row>
    <row r="35" spans="1:15">
      <c r="N35" s="51"/>
      <c r="O35" s="51">
        <f>B52+O34</f>
        <v>7704248</v>
      </c>
    </row>
    <row r="37" spans="1:15" ht="16.5" thickBot="1">
      <c r="N37" s="51">
        <f>N35-57500</f>
        <v>-57500</v>
      </c>
    </row>
    <row r="38" spans="1:15" ht="17.25" thickTop="1" thickBot="1">
      <c r="A38" s="52"/>
      <c r="B38" s="195" t="s">
        <v>18</v>
      </c>
      <c r="C38" s="196"/>
      <c r="D38" s="196"/>
      <c r="E38" s="196"/>
      <c r="F38" s="196"/>
      <c r="G38" s="197"/>
      <c r="H38" s="195" t="s">
        <v>19</v>
      </c>
      <c r="I38" s="196"/>
      <c r="J38" s="196"/>
      <c r="K38" s="196"/>
      <c r="L38" s="196"/>
      <c r="M38" s="197"/>
    </row>
    <row r="39" spans="1:15" ht="16.5" thickBot="1">
      <c r="A39" s="52"/>
      <c r="B39" s="198" t="s">
        <v>12</v>
      </c>
      <c r="C39" s="199"/>
      <c r="D39" s="200" t="s">
        <v>13</v>
      </c>
      <c r="E39" s="199"/>
      <c r="F39" s="200" t="s">
        <v>24</v>
      </c>
      <c r="G39" s="201"/>
      <c r="H39" s="198" t="s">
        <v>44</v>
      </c>
      <c r="I39" s="199"/>
      <c r="J39" s="200" t="s">
        <v>43</v>
      </c>
      <c r="K39" s="199"/>
      <c r="L39" s="200" t="s">
        <v>24</v>
      </c>
      <c r="M39" s="201"/>
    </row>
    <row r="40" spans="1:15">
      <c r="A40" s="8" t="s">
        <v>0</v>
      </c>
      <c r="B40" s="202">
        <f>642467</f>
        <v>642467</v>
      </c>
      <c r="C40" s="203"/>
      <c r="D40" s="208">
        <v>3.3345699999999998</v>
      </c>
      <c r="E40" s="209"/>
      <c r="F40" s="206">
        <f>B40*D40</f>
        <v>2142351.1841899999</v>
      </c>
      <c r="G40" s="207"/>
      <c r="H40" s="202"/>
      <c r="I40" s="203"/>
      <c r="J40" s="204"/>
      <c r="K40" s="205"/>
      <c r="L40" s="206"/>
      <c r="M40" s="207"/>
    </row>
    <row r="41" spans="1:15">
      <c r="A41" s="9" t="s">
        <v>1</v>
      </c>
      <c r="B41" s="185">
        <v>710384</v>
      </c>
      <c r="C41" s="186"/>
      <c r="D41" s="187">
        <v>3.5190999999999999</v>
      </c>
      <c r="E41" s="188"/>
      <c r="F41" s="189">
        <f t="shared" ref="F41:F45" si="9">B41*D41</f>
        <v>2499912.3344000001</v>
      </c>
      <c r="G41" s="190"/>
      <c r="H41" s="185"/>
      <c r="I41" s="186"/>
      <c r="J41" s="191"/>
      <c r="K41" s="192"/>
      <c r="L41" s="189"/>
      <c r="M41" s="190"/>
    </row>
    <row r="42" spans="1:15">
      <c r="A42" s="9" t="s">
        <v>2</v>
      </c>
      <c r="B42" s="185">
        <v>725368</v>
      </c>
      <c r="C42" s="186"/>
      <c r="D42" s="187">
        <v>3.5344699999999998</v>
      </c>
      <c r="E42" s="188"/>
      <c r="F42" s="189">
        <f t="shared" si="9"/>
        <v>2563791.4349599998</v>
      </c>
      <c r="G42" s="190"/>
      <c r="H42" s="185"/>
      <c r="I42" s="186"/>
      <c r="J42" s="191"/>
      <c r="K42" s="192"/>
      <c r="L42" s="189"/>
      <c r="M42" s="190"/>
    </row>
    <row r="43" spans="1:15">
      <c r="A43" s="9" t="s">
        <v>3</v>
      </c>
      <c r="B43" s="185">
        <v>633807</v>
      </c>
      <c r="C43" s="186"/>
      <c r="D43" s="187">
        <v>3.4572799999999999</v>
      </c>
      <c r="E43" s="188"/>
      <c r="F43" s="189">
        <f t="shared" si="9"/>
        <v>2191248.2649599998</v>
      </c>
      <c r="G43" s="190"/>
      <c r="H43" s="185"/>
      <c r="I43" s="186"/>
      <c r="J43" s="191"/>
      <c r="K43" s="192"/>
      <c r="L43" s="189"/>
      <c r="M43" s="190"/>
    </row>
    <row r="44" spans="1:15">
      <c r="A44" s="9" t="s">
        <v>4</v>
      </c>
      <c r="B44" s="185">
        <v>369545</v>
      </c>
      <c r="C44" s="186"/>
      <c r="D44" s="187">
        <v>3.5274800000000002</v>
      </c>
      <c r="E44" s="188"/>
      <c r="F44" s="189">
        <f t="shared" si="9"/>
        <v>1303562.5966</v>
      </c>
      <c r="G44" s="190"/>
      <c r="H44" s="185"/>
      <c r="I44" s="186"/>
      <c r="J44" s="191"/>
      <c r="K44" s="192"/>
      <c r="L44" s="189"/>
      <c r="M44" s="190"/>
    </row>
    <row r="45" spans="1:15">
      <c r="A45" s="9" t="s">
        <v>5</v>
      </c>
      <c r="B45" s="185">
        <v>485577</v>
      </c>
      <c r="C45" s="186"/>
      <c r="D45" s="187">
        <v>3.5691299999999999</v>
      </c>
      <c r="E45" s="188"/>
      <c r="F45" s="189">
        <f t="shared" si="9"/>
        <v>1733087.4380099999</v>
      </c>
      <c r="G45" s="190"/>
      <c r="H45" s="185"/>
      <c r="I45" s="186"/>
      <c r="J45" s="191"/>
      <c r="K45" s="192"/>
      <c r="L45" s="189"/>
      <c r="M45" s="190"/>
    </row>
    <row r="46" spans="1:15">
      <c r="A46" s="9" t="s">
        <v>6</v>
      </c>
      <c r="B46" s="185">
        <v>477736</v>
      </c>
      <c r="C46" s="186"/>
      <c r="D46" s="187">
        <v>3.5135200000000002</v>
      </c>
      <c r="E46" s="188"/>
      <c r="F46" s="189">
        <f>B46*D46+0.1</f>
        <v>1678535.0907200002</v>
      </c>
      <c r="G46" s="190"/>
      <c r="H46" s="185">
        <v>737</v>
      </c>
      <c r="I46" s="186"/>
      <c r="J46" s="187">
        <v>396.75563</v>
      </c>
      <c r="K46" s="188"/>
      <c r="L46" s="189">
        <f>H46*J46</f>
        <v>292408.89931000001</v>
      </c>
      <c r="M46" s="190"/>
    </row>
    <row r="47" spans="1:15">
      <c r="A47" s="9" t="s">
        <v>7</v>
      </c>
      <c r="B47" s="185">
        <v>668993</v>
      </c>
      <c r="C47" s="186"/>
      <c r="D47" s="187">
        <v>3.4611399999999999</v>
      </c>
      <c r="E47" s="188"/>
      <c r="F47" s="189">
        <f>B47*D47+2.49</f>
        <v>2315480.9220199999</v>
      </c>
      <c r="G47" s="190"/>
      <c r="H47" s="185">
        <v>1981</v>
      </c>
      <c r="I47" s="186"/>
      <c r="J47" s="187">
        <v>394.54577</v>
      </c>
      <c r="K47" s="188"/>
      <c r="L47" s="189">
        <f>H47*J47+0.01</f>
        <v>781595.18037000007</v>
      </c>
      <c r="M47" s="190"/>
    </row>
    <row r="48" spans="1:15">
      <c r="A48" s="9" t="s">
        <v>8</v>
      </c>
      <c r="B48" s="185">
        <v>673580</v>
      </c>
      <c r="C48" s="186"/>
      <c r="D48" s="187">
        <v>3.2653300000000001</v>
      </c>
      <c r="E48" s="188"/>
      <c r="F48" s="189">
        <f>B48*D48+1.3</f>
        <v>2199462.2813999997</v>
      </c>
      <c r="G48" s="190"/>
      <c r="H48" s="185">
        <v>1188</v>
      </c>
      <c r="I48" s="186"/>
      <c r="J48" s="187">
        <v>384.71228000000002</v>
      </c>
      <c r="K48" s="188"/>
      <c r="L48" s="189">
        <f t="shared" ref="L48:L51" si="10">H48*J48</f>
        <v>457038.18864000001</v>
      </c>
      <c r="M48" s="190"/>
    </row>
    <row r="49" spans="1:19">
      <c r="A49" s="9" t="s">
        <v>9</v>
      </c>
      <c r="B49" s="185">
        <v>721091</v>
      </c>
      <c r="C49" s="186"/>
      <c r="D49" s="187">
        <v>3.2745700000000002</v>
      </c>
      <c r="E49" s="188"/>
      <c r="F49" s="189">
        <f>B49*D49+3.17</f>
        <v>2361266.1258700001</v>
      </c>
      <c r="G49" s="190"/>
      <c r="H49" s="185">
        <v>1184</v>
      </c>
      <c r="I49" s="186"/>
      <c r="J49" s="187">
        <v>397.63373999999999</v>
      </c>
      <c r="K49" s="188"/>
      <c r="L49" s="189">
        <f t="shared" si="10"/>
        <v>470798.34815999999</v>
      </c>
      <c r="M49" s="190"/>
    </row>
    <row r="50" spans="1:19">
      <c r="A50" s="9" t="s">
        <v>10</v>
      </c>
      <c r="B50" s="185">
        <v>760831</v>
      </c>
      <c r="C50" s="186"/>
      <c r="D50" s="187">
        <v>3.2073</v>
      </c>
      <c r="E50" s="188"/>
      <c r="F50" s="189">
        <f>B50*D50+0.3</f>
        <v>2440213.5663000001</v>
      </c>
      <c r="G50" s="190"/>
      <c r="H50" s="185">
        <v>1225</v>
      </c>
      <c r="I50" s="186"/>
      <c r="J50" s="187">
        <v>409.67437999999999</v>
      </c>
      <c r="K50" s="188"/>
      <c r="L50" s="189">
        <f>H50*J50-0.01</f>
        <v>501851.10549999995</v>
      </c>
      <c r="M50" s="190"/>
    </row>
    <row r="51" spans="1:19" ht="16.5" thickBot="1">
      <c r="A51" s="10" t="s">
        <v>11</v>
      </c>
      <c r="B51" s="193">
        <v>830676</v>
      </c>
      <c r="C51" s="194"/>
      <c r="D51" s="175">
        <v>3.1968200000000002</v>
      </c>
      <c r="E51" s="176"/>
      <c r="F51" s="177">
        <f>B51*D51-2.13</f>
        <v>2655519.5203200001</v>
      </c>
      <c r="G51" s="178"/>
      <c r="H51" s="193">
        <v>1340</v>
      </c>
      <c r="I51" s="194"/>
      <c r="J51" s="175">
        <v>456.41798</v>
      </c>
      <c r="K51" s="176"/>
      <c r="L51" s="177">
        <f t="shared" si="10"/>
        <v>611600.0932</v>
      </c>
      <c r="M51" s="178"/>
    </row>
    <row r="52" spans="1:19" ht="16.5" thickTop="1">
      <c r="B52" s="179">
        <f>SUM(B40:B51)</f>
        <v>7700055</v>
      </c>
      <c r="C52" s="180"/>
      <c r="D52" s="181"/>
      <c r="E52" s="181"/>
      <c r="F52" s="182"/>
      <c r="G52" s="180"/>
      <c r="H52" s="179"/>
      <c r="I52" s="180"/>
      <c r="J52" s="181"/>
      <c r="K52" s="181"/>
      <c r="L52" s="182"/>
      <c r="M52" s="180"/>
    </row>
    <row r="53" spans="1:19" ht="16.5" thickBot="1"/>
    <row r="54" spans="1:19" ht="17.25" thickTop="1" thickBot="1">
      <c r="A54" s="52"/>
      <c r="B54" s="195" t="s">
        <v>22</v>
      </c>
      <c r="C54" s="196"/>
      <c r="D54" s="196"/>
      <c r="E54" s="196"/>
      <c r="F54" s="196"/>
      <c r="G54" s="197"/>
      <c r="H54" s="195" t="s">
        <v>23</v>
      </c>
      <c r="I54" s="196"/>
      <c r="J54" s="196"/>
      <c r="K54" s="196"/>
      <c r="L54" s="196"/>
      <c r="M54" s="197"/>
    </row>
    <row r="55" spans="1:19" ht="16.5" thickBot="1">
      <c r="A55" s="52"/>
      <c r="B55" s="198" t="s">
        <v>12</v>
      </c>
      <c r="C55" s="199"/>
      <c r="D55" s="200" t="s">
        <v>13</v>
      </c>
      <c r="E55" s="199"/>
      <c r="F55" s="200" t="s">
        <v>24</v>
      </c>
      <c r="G55" s="201"/>
      <c r="H55" s="198" t="s">
        <v>44</v>
      </c>
      <c r="I55" s="199"/>
      <c r="J55" s="200" t="s">
        <v>43</v>
      </c>
      <c r="K55" s="199"/>
      <c r="L55" s="200" t="s">
        <v>24</v>
      </c>
      <c r="M55" s="201"/>
      <c r="S55" s="1">
        <v>2015</v>
      </c>
    </row>
    <row r="56" spans="1:19">
      <c r="A56" s="8" t="s">
        <v>0</v>
      </c>
      <c r="B56" s="202">
        <v>412722</v>
      </c>
      <c r="C56" s="203"/>
      <c r="D56" s="208">
        <v>3.3587199999999999</v>
      </c>
      <c r="E56" s="209"/>
      <c r="F56" s="206">
        <f>1635735.66/1.18</f>
        <v>1386216.6610169492</v>
      </c>
      <c r="G56" s="207"/>
      <c r="H56" s="202">
        <v>721</v>
      </c>
      <c r="I56" s="203"/>
      <c r="J56" s="208">
        <v>435.65906999999999</v>
      </c>
      <c r="K56" s="209"/>
      <c r="L56" s="206">
        <f>370650.02/1.18</f>
        <v>314110.18644067802</v>
      </c>
      <c r="M56" s="207"/>
      <c r="O56" s="202">
        <f>642467</f>
        <v>642467</v>
      </c>
      <c r="P56" s="203"/>
      <c r="R56" s="1">
        <f>B56/O56</f>
        <v>0.64240186655501375</v>
      </c>
      <c r="S56" s="1">
        <f>B56*R65</f>
        <v>330404.36812829447</v>
      </c>
    </row>
    <row r="57" spans="1:19">
      <c r="A57" s="9" t="s">
        <v>1</v>
      </c>
      <c r="B57" s="185">
        <v>760293</v>
      </c>
      <c r="C57" s="186"/>
      <c r="D57" s="187">
        <v>3.3716200000000001</v>
      </c>
      <c r="E57" s="188"/>
      <c r="F57" s="189">
        <f>3024831.81/1.18</f>
        <v>2563416.7881355933</v>
      </c>
      <c r="G57" s="190"/>
      <c r="H57" s="185">
        <v>1353</v>
      </c>
      <c r="I57" s="186"/>
      <c r="J57" s="187">
        <v>259.70083</v>
      </c>
      <c r="K57" s="188"/>
      <c r="L57" s="189">
        <f>414622.75/1.18</f>
        <v>351375.21186440683</v>
      </c>
      <c r="M57" s="190"/>
      <c r="O57" s="185">
        <v>710384</v>
      </c>
      <c r="P57" s="186"/>
      <c r="R57" s="1">
        <f t="shared" ref="R57:R67" si="11">B57/O57</f>
        <v>1.0702563683866755</v>
      </c>
      <c r="S57" s="1">
        <f>B57*R65</f>
        <v>608652.13935134397</v>
      </c>
    </row>
    <row r="58" spans="1:19">
      <c r="A58" s="9" t="s">
        <v>2</v>
      </c>
      <c r="B58" s="185">
        <v>760493</v>
      </c>
      <c r="C58" s="186"/>
      <c r="D58" s="187">
        <v>3.3523700000000001</v>
      </c>
      <c r="E58" s="188"/>
      <c r="F58" s="189">
        <f>3008358.4/1.18</f>
        <v>2549456.2711864407</v>
      </c>
      <c r="G58" s="190"/>
      <c r="H58" s="185">
        <v>1417</v>
      </c>
      <c r="I58" s="186"/>
      <c r="J58" s="187">
        <v>557.34753999999998</v>
      </c>
      <c r="K58" s="188"/>
      <c r="L58" s="189">
        <f>931918.52/1.18</f>
        <v>789761.45762711868</v>
      </c>
      <c r="M58" s="190"/>
      <c r="O58" s="185">
        <v>725368</v>
      </c>
      <c r="P58" s="186"/>
      <c r="R58" s="1">
        <f t="shared" si="11"/>
        <v>1.0484236966615565</v>
      </c>
      <c r="S58" s="1">
        <f>B58*R65</f>
        <v>608812.24924038711</v>
      </c>
    </row>
    <row r="59" spans="1:19">
      <c r="A59" s="9" t="s">
        <v>3</v>
      </c>
      <c r="B59" s="185">
        <v>674068</v>
      </c>
      <c r="C59" s="186"/>
      <c r="D59" s="187">
        <v>3.4084699999999999</v>
      </c>
      <c r="E59" s="188"/>
      <c r="F59" s="189">
        <v>2711094.03</v>
      </c>
      <c r="G59" s="190"/>
      <c r="H59" s="185">
        <v>1463</v>
      </c>
      <c r="I59" s="186"/>
      <c r="J59" s="187">
        <v>474.13069999999999</v>
      </c>
      <c r="K59" s="188"/>
      <c r="L59" s="189">
        <v>818510.78</v>
      </c>
      <c r="M59" s="190"/>
      <c r="O59" s="185">
        <v>633807</v>
      </c>
      <c r="P59" s="186"/>
      <c r="R59" s="1">
        <f t="shared" si="11"/>
        <v>1.0635224918626649</v>
      </c>
      <c r="S59" s="1">
        <f>B59*R65</f>
        <v>539624.76343762444</v>
      </c>
    </row>
    <row r="60" spans="1:19">
      <c r="A60" s="9" t="s">
        <v>4</v>
      </c>
      <c r="B60" s="185">
        <v>551795</v>
      </c>
      <c r="C60" s="186"/>
      <c r="D60" s="187">
        <v>3.38246</v>
      </c>
      <c r="E60" s="188"/>
      <c r="F60" s="189">
        <v>1866422.84</v>
      </c>
      <c r="G60" s="190"/>
      <c r="H60" s="185">
        <v>1299</v>
      </c>
      <c r="I60" s="186"/>
      <c r="J60" s="187">
        <v>463.13875000000002</v>
      </c>
      <c r="K60" s="188"/>
      <c r="L60" s="189">
        <v>601617.25</v>
      </c>
      <c r="M60" s="190"/>
      <c r="O60" s="185">
        <v>369545</v>
      </c>
      <c r="P60" s="186"/>
      <c r="R60" s="1">
        <f t="shared" si="11"/>
        <v>1.4931740383444505</v>
      </c>
      <c r="S60" s="1">
        <f>B60*R65</f>
        <v>441739.18112277094</v>
      </c>
    </row>
    <row r="61" spans="1:19">
      <c r="A61" s="9" t="s">
        <v>5</v>
      </c>
      <c r="B61" s="185">
        <v>597472</v>
      </c>
      <c r="C61" s="186"/>
      <c r="D61" s="187">
        <v>3.50576</v>
      </c>
      <c r="E61" s="188"/>
      <c r="F61" s="189">
        <v>2094593.58</v>
      </c>
      <c r="G61" s="190"/>
      <c r="H61" s="185">
        <v>1437</v>
      </c>
      <c r="I61" s="186"/>
      <c r="J61" s="187">
        <v>405.15582999999998</v>
      </c>
      <c r="K61" s="188"/>
      <c r="L61" s="189">
        <v>582208.93000000005</v>
      </c>
      <c r="M61" s="190"/>
      <c r="O61" s="185">
        <v>485577</v>
      </c>
      <c r="P61" s="186"/>
      <c r="R61" s="1">
        <f t="shared" si="11"/>
        <v>1.2304371912178707</v>
      </c>
      <c r="S61" s="1">
        <f>B61*R65</f>
        <v>478305.8781318863</v>
      </c>
    </row>
    <row r="62" spans="1:19">
      <c r="A62" s="9" t="s">
        <v>6</v>
      </c>
      <c r="B62" s="185">
        <v>653387</v>
      </c>
      <c r="C62" s="186"/>
      <c r="D62" s="187">
        <v>3.4757799999999999</v>
      </c>
      <c r="E62" s="188"/>
      <c r="F62" s="189">
        <v>2271028.23</v>
      </c>
      <c r="G62" s="190"/>
      <c r="H62" s="185">
        <v>1275</v>
      </c>
      <c r="I62" s="186"/>
      <c r="J62" s="187">
        <v>444.78397000000001</v>
      </c>
      <c r="K62" s="188"/>
      <c r="L62" s="189">
        <v>567099.56000000006</v>
      </c>
      <c r="M62" s="190"/>
      <c r="O62" s="185">
        <v>477736</v>
      </c>
      <c r="P62" s="186"/>
      <c r="R62" s="1">
        <f t="shared" si="11"/>
        <v>1.3676737779861681</v>
      </c>
      <c r="S62" s="1">
        <f>B62*R65</f>
        <v>523068.60036111949</v>
      </c>
    </row>
    <row r="63" spans="1:19">
      <c r="A63" s="9" t="s">
        <v>7</v>
      </c>
      <c r="B63" s="185">
        <v>262040</v>
      </c>
      <c r="C63" s="186"/>
      <c r="D63" s="187">
        <v>3.5243600000000002</v>
      </c>
      <c r="E63" s="188"/>
      <c r="F63" s="189">
        <v>923523.23</v>
      </c>
      <c r="G63" s="190"/>
      <c r="H63" s="185">
        <v>565</v>
      </c>
      <c r="I63" s="186"/>
      <c r="J63" s="187">
        <v>406.34156000000002</v>
      </c>
      <c r="K63" s="188"/>
      <c r="L63" s="189">
        <v>229582.99</v>
      </c>
      <c r="M63" s="190"/>
      <c r="O63" s="185">
        <v>668993</v>
      </c>
      <c r="P63" s="186"/>
      <c r="R63" s="72">
        <f t="shared" si="11"/>
        <v>0.39169318662527114</v>
      </c>
      <c r="S63" s="51">
        <f>B63</f>
        <v>262040</v>
      </c>
    </row>
    <row r="64" spans="1:19">
      <c r="A64" s="9" t="s">
        <v>8</v>
      </c>
      <c r="B64" s="185">
        <v>482388</v>
      </c>
      <c r="C64" s="186"/>
      <c r="D64" s="187">
        <f>'по сч.ф.2014'!D19</f>
        <v>3.4686300000000001</v>
      </c>
      <c r="E64" s="188"/>
      <c r="F64" s="189">
        <f>'по сч.ф.2014'!E19</f>
        <v>1673225.54</v>
      </c>
      <c r="G64" s="190"/>
      <c r="H64" s="185">
        <f>'по сч.ф.2014'!C20</f>
        <v>627</v>
      </c>
      <c r="I64" s="186"/>
      <c r="J64" s="187">
        <f>'по сч.ф.2014'!D20</f>
        <v>441.70576</v>
      </c>
      <c r="K64" s="188"/>
      <c r="L64" s="189">
        <f>'по сч.ф.2014'!E20</f>
        <v>276949.52</v>
      </c>
      <c r="M64" s="190"/>
      <c r="O64" s="185">
        <v>673580</v>
      </c>
      <c r="P64" s="186"/>
      <c r="R64" s="72">
        <f t="shared" si="11"/>
        <v>0.71615546779892514</v>
      </c>
      <c r="S64" s="51">
        <f>B64</f>
        <v>482388</v>
      </c>
    </row>
    <row r="65" spans="1:19">
      <c r="A65" s="9" t="s">
        <v>9</v>
      </c>
      <c r="B65" s="185">
        <v>577269</v>
      </c>
      <c r="C65" s="186"/>
      <c r="D65" s="187">
        <f>'по сч.ф.2014'!D21</f>
        <v>3.4389400000000001</v>
      </c>
      <c r="E65" s="188"/>
      <c r="F65" s="189">
        <f>'по сч.ф.2014'!E21</f>
        <v>1985194.66</v>
      </c>
      <c r="G65" s="190"/>
      <c r="H65" s="185">
        <f>'по сч.ф.2014'!C22</f>
        <v>756</v>
      </c>
      <c r="I65" s="186"/>
      <c r="J65" s="187">
        <f>'по сч.ф.2014'!D22</f>
        <v>521.37062000000003</v>
      </c>
      <c r="K65" s="188"/>
      <c r="L65" s="189">
        <f>'по сч.ф.2014'!E22</f>
        <v>394156.19</v>
      </c>
      <c r="M65" s="190"/>
      <c r="O65" s="185">
        <v>721091</v>
      </c>
      <c r="P65" s="186"/>
      <c r="R65" s="72">
        <f t="shared" si="11"/>
        <v>0.80054944521565241</v>
      </c>
      <c r="S65" s="51">
        <f>B65</f>
        <v>577269</v>
      </c>
    </row>
    <row r="66" spans="1:19">
      <c r="A66" s="9" t="s">
        <v>10</v>
      </c>
      <c r="B66" s="185">
        <f>O66*R65</f>
        <v>609082.83495287003</v>
      </c>
      <c r="C66" s="186"/>
      <c r="D66" s="187">
        <f>'по сч.ф.2014'!D23</f>
        <v>3.4715799999999999</v>
      </c>
      <c r="E66" s="188"/>
      <c r="F66" s="189">
        <f>'по сч.ф.2014'!E23</f>
        <v>2359861.6</v>
      </c>
      <c r="G66" s="190"/>
      <c r="H66" s="185">
        <f>'по сч.ф.2014'!C24</f>
        <v>1200</v>
      </c>
      <c r="I66" s="186"/>
      <c r="J66" s="187">
        <f>'по сч.ф.2014'!D24</f>
        <v>434.90613000000002</v>
      </c>
      <c r="K66" s="188"/>
      <c r="L66" s="189">
        <f>'по сч.ф.2014'!E24</f>
        <v>521887.36</v>
      </c>
      <c r="M66" s="190"/>
      <c r="O66" s="185">
        <v>760831</v>
      </c>
      <c r="P66" s="186"/>
      <c r="S66" s="51">
        <f>B66</f>
        <v>609082.83495287003</v>
      </c>
    </row>
    <row r="67" spans="1:19" ht="16.5" thickBot="1">
      <c r="A67" s="10" t="s">
        <v>11</v>
      </c>
      <c r="B67" s="193">
        <f>O67*R65</f>
        <v>664997.21095395728</v>
      </c>
      <c r="C67" s="194"/>
      <c r="D67" s="175">
        <f>'по сч.ф.2014'!D25</f>
        <v>3.5604800000000001</v>
      </c>
      <c r="E67" s="176"/>
      <c r="F67" s="177">
        <f>'по сч.ф.2014'!E25</f>
        <v>2779502.71</v>
      </c>
      <c r="G67" s="178"/>
      <c r="H67" s="193">
        <f>'по сч.ф.2014'!C26</f>
        <v>1103</v>
      </c>
      <c r="I67" s="194"/>
      <c r="J67" s="175">
        <f>'по сч.ф.2014'!D26</f>
        <v>432.49822999999998</v>
      </c>
      <c r="K67" s="176"/>
      <c r="L67" s="177">
        <f>'по сч.ф.2014'!E26</f>
        <v>477045.55</v>
      </c>
      <c r="M67" s="178"/>
      <c r="O67" s="193">
        <v>830676</v>
      </c>
      <c r="P67" s="194"/>
      <c r="R67" s="1">
        <f t="shared" si="11"/>
        <v>0.80054944521565241</v>
      </c>
      <c r="S67" s="51">
        <f>B67</f>
        <v>664997.21095395728</v>
      </c>
    </row>
    <row r="68" spans="1:19">
      <c r="S68" s="1">
        <f>SUM(S56:S67)</f>
        <v>6126384.2256802553</v>
      </c>
    </row>
  </sheetData>
  <mergeCells count="328">
    <mergeCell ref="O65:P65"/>
    <mergeCell ref="O66:P66"/>
    <mergeCell ref="O67:P67"/>
    <mergeCell ref="O56:P56"/>
    <mergeCell ref="O57:P57"/>
    <mergeCell ref="O58:P58"/>
    <mergeCell ref="O59:P59"/>
    <mergeCell ref="O60:P60"/>
    <mergeCell ref="O61:P61"/>
    <mergeCell ref="O62:P62"/>
    <mergeCell ref="O63:P63"/>
    <mergeCell ref="O64:P64"/>
    <mergeCell ref="B67:C67"/>
    <mergeCell ref="D67:E67"/>
    <mergeCell ref="F67:G67"/>
    <mergeCell ref="H67:I67"/>
    <mergeCell ref="J67:K67"/>
    <mergeCell ref="L67:M67"/>
    <mergeCell ref="B65:C65"/>
    <mergeCell ref="D65:E65"/>
    <mergeCell ref="F65:G65"/>
    <mergeCell ref="H65:I65"/>
    <mergeCell ref="J65:K65"/>
    <mergeCell ref="L65:M65"/>
    <mergeCell ref="B66:C66"/>
    <mergeCell ref="D66:E66"/>
    <mergeCell ref="F66:G66"/>
    <mergeCell ref="H66:I66"/>
    <mergeCell ref="J66:K66"/>
    <mergeCell ref="L66:M66"/>
    <mergeCell ref="B63:C63"/>
    <mergeCell ref="D63:E63"/>
    <mergeCell ref="F63:G63"/>
    <mergeCell ref="H63:I63"/>
    <mergeCell ref="J63:K63"/>
    <mergeCell ref="L63:M63"/>
    <mergeCell ref="B64:C64"/>
    <mergeCell ref="D64:E64"/>
    <mergeCell ref="F64:G64"/>
    <mergeCell ref="H64:I64"/>
    <mergeCell ref="J64:K64"/>
    <mergeCell ref="L64:M64"/>
    <mergeCell ref="B61:C61"/>
    <mergeCell ref="D61:E61"/>
    <mergeCell ref="F61:G61"/>
    <mergeCell ref="H61:I61"/>
    <mergeCell ref="J61:K61"/>
    <mergeCell ref="L61:M61"/>
    <mergeCell ref="B62:C62"/>
    <mergeCell ref="D62:E62"/>
    <mergeCell ref="F62:G62"/>
    <mergeCell ref="H62:I62"/>
    <mergeCell ref="J62:K62"/>
    <mergeCell ref="L62:M62"/>
    <mergeCell ref="B59:C59"/>
    <mergeCell ref="D59:E59"/>
    <mergeCell ref="F59:G59"/>
    <mergeCell ref="H59:I59"/>
    <mergeCell ref="J59:K59"/>
    <mergeCell ref="L59:M59"/>
    <mergeCell ref="B60:C60"/>
    <mergeCell ref="D60:E60"/>
    <mergeCell ref="F60:G60"/>
    <mergeCell ref="H60:I60"/>
    <mergeCell ref="J60:K60"/>
    <mergeCell ref="L60:M60"/>
    <mergeCell ref="B57:C57"/>
    <mergeCell ref="D57:E57"/>
    <mergeCell ref="F57:G57"/>
    <mergeCell ref="H57:I57"/>
    <mergeCell ref="J57:K57"/>
    <mergeCell ref="L57:M57"/>
    <mergeCell ref="B58:C58"/>
    <mergeCell ref="D58:E58"/>
    <mergeCell ref="F58:G58"/>
    <mergeCell ref="H58:I58"/>
    <mergeCell ref="J58:K58"/>
    <mergeCell ref="L58:M58"/>
    <mergeCell ref="B54:G54"/>
    <mergeCell ref="H54:M54"/>
    <mergeCell ref="B55:C55"/>
    <mergeCell ref="D55:E55"/>
    <mergeCell ref="F55:G55"/>
    <mergeCell ref="H55:I55"/>
    <mergeCell ref="J55:K55"/>
    <mergeCell ref="L55:M55"/>
    <mergeCell ref="B56:C56"/>
    <mergeCell ref="D56:E56"/>
    <mergeCell ref="F56:G56"/>
    <mergeCell ref="H56:I56"/>
    <mergeCell ref="J56:K56"/>
    <mergeCell ref="L56:M56"/>
    <mergeCell ref="B15:C15"/>
    <mergeCell ref="D15:E15"/>
    <mergeCell ref="F15:G15"/>
    <mergeCell ref="L16:M16"/>
    <mergeCell ref="N16:O16"/>
    <mergeCell ref="P16:Q16"/>
    <mergeCell ref="R16:S16"/>
    <mergeCell ref="B33:C33"/>
    <mergeCell ref="D33:E33"/>
    <mergeCell ref="F33:G33"/>
    <mergeCell ref="H33:I33"/>
    <mergeCell ref="J33:K33"/>
    <mergeCell ref="L33:M33"/>
    <mergeCell ref="B16:C16"/>
    <mergeCell ref="D16:E16"/>
    <mergeCell ref="F16:G16"/>
    <mergeCell ref="H16:I16"/>
    <mergeCell ref="J16:K16"/>
    <mergeCell ref="L28:M28"/>
    <mergeCell ref="L29:M29"/>
    <mergeCell ref="L30:M30"/>
    <mergeCell ref="L31:M31"/>
    <mergeCell ref="L32:M32"/>
    <mergeCell ref="L23:M23"/>
    <mergeCell ref="L24:M24"/>
    <mergeCell ref="L25:M25"/>
    <mergeCell ref="L26:M26"/>
    <mergeCell ref="L27:M27"/>
    <mergeCell ref="J28:K28"/>
    <mergeCell ref="J29:K29"/>
    <mergeCell ref="J30:K30"/>
    <mergeCell ref="J31:K31"/>
    <mergeCell ref="J32:K32"/>
    <mergeCell ref="J23:K23"/>
    <mergeCell ref="J24:K24"/>
    <mergeCell ref="J25:K25"/>
    <mergeCell ref="J26:K26"/>
    <mergeCell ref="J27:K27"/>
    <mergeCell ref="D32:E32"/>
    <mergeCell ref="F32:G32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D28:E28"/>
    <mergeCell ref="D29:E29"/>
    <mergeCell ref="D30:E30"/>
    <mergeCell ref="D31:E31"/>
    <mergeCell ref="F21:G21"/>
    <mergeCell ref="D24:E24"/>
    <mergeCell ref="D25:E25"/>
    <mergeCell ref="D26:E26"/>
    <mergeCell ref="D27:E27"/>
    <mergeCell ref="B28:C28"/>
    <mergeCell ref="B29:C29"/>
    <mergeCell ref="B30:C30"/>
    <mergeCell ref="B31:C3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B32:C32"/>
    <mergeCell ref="B23:C23"/>
    <mergeCell ref="B24:C24"/>
    <mergeCell ref="B25:C25"/>
    <mergeCell ref="B26:C26"/>
    <mergeCell ref="B27:C27"/>
    <mergeCell ref="L20:M20"/>
    <mergeCell ref="B19:G19"/>
    <mergeCell ref="H19:M19"/>
    <mergeCell ref="B21:C21"/>
    <mergeCell ref="B22:C22"/>
    <mergeCell ref="D21:E21"/>
    <mergeCell ref="D22:E22"/>
    <mergeCell ref="J21:K21"/>
    <mergeCell ref="J22:K22"/>
    <mergeCell ref="L21:M21"/>
    <mergeCell ref="L22:M22"/>
    <mergeCell ref="B20:C20"/>
    <mergeCell ref="D20:E20"/>
    <mergeCell ref="F20:G20"/>
    <mergeCell ref="H20:I20"/>
    <mergeCell ref="J20:K20"/>
    <mergeCell ref="F31:G31"/>
    <mergeCell ref="D23:E23"/>
    <mergeCell ref="L6:M6"/>
    <mergeCell ref="L7:M7"/>
    <mergeCell ref="N2:S2"/>
    <mergeCell ref="N3:O3"/>
    <mergeCell ref="P3:Q3"/>
    <mergeCell ref="R3:S3"/>
    <mergeCell ref="B8:C8"/>
    <mergeCell ref="B9:C9"/>
    <mergeCell ref="H2:M2"/>
    <mergeCell ref="H3:I3"/>
    <mergeCell ref="J3:K3"/>
    <mergeCell ref="L3:M3"/>
    <mergeCell ref="J4:K4"/>
    <mergeCell ref="H4:I4"/>
    <mergeCell ref="H5:I5"/>
    <mergeCell ref="H6:I6"/>
    <mergeCell ref="H7:I7"/>
    <mergeCell ref="J5:K5"/>
    <mergeCell ref="J6:K6"/>
    <mergeCell ref="J7:K7"/>
    <mergeCell ref="L4:M4"/>
    <mergeCell ref="L5:M5"/>
    <mergeCell ref="F9:G9"/>
    <mergeCell ref="B2:G2"/>
    <mergeCell ref="F11:G11"/>
    <mergeCell ref="F12:G12"/>
    <mergeCell ref="F13:G13"/>
    <mergeCell ref="F14:G14"/>
    <mergeCell ref="F3:G3"/>
    <mergeCell ref="F4:G4"/>
    <mergeCell ref="F5:G5"/>
    <mergeCell ref="F6:G6"/>
    <mergeCell ref="F8:G8"/>
    <mergeCell ref="B11:C11"/>
    <mergeCell ref="B12:C12"/>
    <mergeCell ref="B13:C13"/>
    <mergeCell ref="B14:C14"/>
    <mergeCell ref="D14:E14"/>
    <mergeCell ref="D13:E13"/>
    <mergeCell ref="D12:E12"/>
    <mergeCell ref="D11:E11"/>
    <mergeCell ref="B3:C3"/>
    <mergeCell ref="B4:C4"/>
    <mergeCell ref="B5:C5"/>
    <mergeCell ref="B6:C6"/>
    <mergeCell ref="D3:E3"/>
    <mergeCell ref="D4:E4"/>
    <mergeCell ref="D5:E5"/>
    <mergeCell ref="D6:E6"/>
    <mergeCell ref="D8:E8"/>
    <mergeCell ref="D9:E9"/>
    <mergeCell ref="B38:G38"/>
    <mergeCell ref="B39:C39"/>
    <mergeCell ref="D39:E39"/>
    <mergeCell ref="F39:G39"/>
    <mergeCell ref="B40:C40"/>
    <mergeCell ref="D40:E40"/>
    <mergeCell ref="F40:G40"/>
    <mergeCell ref="B41:C41"/>
    <mergeCell ref="D41:E41"/>
    <mergeCell ref="F41:G41"/>
    <mergeCell ref="B42:C42"/>
    <mergeCell ref="D42:E42"/>
    <mergeCell ref="F42:G42"/>
    <mergeCell ref="B43:C43"/>
    <mergeCell ref="D43:E43"/>
    <mergeCell ref="F43:G43"/>
    <mergeCell ref="B44:C44"/>
    <mergeCell ref="D44:E44"/>
    <mergeCell ref="F44:G44"/>
    <mergeCell ref="J44:K44"/>
    <mergeCell ref="B48:C48"/>
    <mergeCell ref="D48:E48"/>
    <mergeCell ref="F48:G48"/>
    <mergeCell ref="B49:C49"/>
    <mergeCell ref="D49:E49"/>
    <mergeCell ref="F49:G49"/>
    <mergeCell ref="B50:C50"/>
    <mergeCell ref="D50:E50"/>
    <mergeCell ref="F50:G50"/>
    <mergeCell ref="B45:C45"/>
    <mergeCell ref="D45:E45"/>
    <mergeCell ref="F45:G45"/>
    <mergeCell ref="B46:C46"/>
    <mergeCell ref="D46:E46"/>
    <mergeCell ref="F46:G46"/>
    <mergeCell ref="B47:C47"/>
    <mergeCell ref="D47:E47"/>
    <mergeCell ref="F47:G47"/>
    <mergeCell ref="J47:K47"/>
    <mergeCell ref="B51:C51"/>
    <mergeCell ref="D51:E51"/>
    <mergeCell ref="F51:G51"/>
    <mergeCell ref="B52:C52"/>
    <mergeCell ref="D52:E52"/>
    <mergeCell ref="F52:G52"/>
    <mergeCell ref="H38:M38"/>
    <mergeCell ref="H39:I39"/>
    <mergeCell ref="J39:K39"/>
    <mergeCell ref="L39:M39"/>
    <mergeCell ref="H40:I40"/>
    <mergeCell ref="J40:K40"/>
    <mergeCell ref="L40:M40"/>
    <mergeCell ref="H41:I41"/>
    <mergeCell ref="J41:K41"/>
    <mergeCell ref="L41:M41"/>
    <mergeCell ref="H42:I42"/>
    <mergeCell ref="J42:K42"/>
    <mergeCell ref="L42:M42"/>
    <mergeCell ref="H43:I43"/>
    <mergeCell ref="J43:K43"/>
    <mergeCell ref="L43:M43"/>
    <mergeCell ref="H51:I51"/>
    <mergeCell ref="H44:I44"/>
    <mergeCell ref="J51:K51"/>
    <mergeCell ref="L51:M51"/>
    <mergeCell ref="H52:I52"/>
    <mergeCell ref="J52:K52"/>
    <mergeCell ref="L52:M52"/>
    <mergeCell ref="A1:Y1"/>
    <mergeCell ref="H48:I48"/>
    <mergeCell ref="J48:K48"/>
    <mergeCell ref="L48:M48"/>
    <mergeCell ref="H49:I49"/>
    <mergeCell ref="J49:K49"/>
    <mergeCell ref="L49:M49"/>
    <mergeCell ref="H50:I50"/>
    <mergeCell ref="J50:K50"/>
    <mergeCell ref="L50:M50"/>
    <mergeCell ref="L44:M44"/>
    <mergeCell ref="H45:I45"/>
    <mergeCell ref="J45:K45"/>
    <mergeCell ref="L45:M45"/>
    <mergeCell ref="H46:I46"/>
    <mergeCell ref="J46:K46"/>
    <mergeCell ref="L46:M46"/>
    <mergeCell ref="H47:I47"/>
    <mergeCell ref="L47:M47"/>
  </mergeCells>
  <pageMargins left="0.19685039370078741" right="0.19685039370078741" top="0.39370078740157483" bottom="0.55118110236220474" header="0" footer="0"/>
  <pageSetup paperSize="9" scale="38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sqref="A1:C8"/>
    </sheetView>
  </sheetViews>
  <sheetFormatPr defaultRowHeight="20.25"/>
  <cols>
    <col min="1" max="1" width="13.28515625" style="17" customWidth="1"/>
    <col min="2" max="2" width="35.28515625" style="17" customWidth="1"/>
    <col min="3" max="3" width="39.42578125" style="17" customWidth="1"/>
    <col min="4" max="16384" width="9.140625" style="17"/>
  </cols>
  <sheetData>
    <row r="1" spans="1:3" ht="67.5" customHeight="1" thickBot="1">
      <c r="A1" s="258" t="s">
        <v>16</v>
      </c>
      <c r="B1" s="258"/>
      <c r="C1" s="258"/>
    </row>
    <row r="2" spans="1:3" ht="43.5" customHeight="1">
      <c r="A2" s="256" t="s">
        <v>14</v>
      </c>
      <c r="B2" s="254" t="s">
        <v>15</v>
      </c>
      <c r="C2" s="254" t="s">
        <v>17</v>
      </c>
    </row>
    <row r="3" spans="1:3" ht="43.5" customHeight="1" thickBot="1">
      <c r="A3" s="257"/>
      <c r="B3" s="255"/>
      <c r="C3" s="255"/>
    </row>
    <row r="4" spans="1:3">
      <c r="A4" s="26">
        <v>2008</v>
      </c>
      <c r="B4" s="24">
        <f>Лист1!D16</f>
        <v>1.8087420241400023</v>
      </c>
      <c r="C4" s="25">
        <f>Лист3!B14</f>
        <v>2472.9238924965516</v>
      </c>
    </row>
    <row r="5" spans="1:3">
      <c r="A5" s="18">
        <v>2009</v>
      </c>
      <c r="B5" s="22">
        <f>Лист1!J16</f>
        <v>2.3256956398377042</v>
      </c>
      <c r="C5" s="19">
        <f>Лист3!C14</f>
        <v>2788.8154297481178</v>
      </c>
    </row>
    <row r="6" spans="1:3">
      <c r="A6" s="18">
        <v>2010</v>
      </c>
      <c r="B6" s="22">
        <f>Лист1!P16</f>
        <v>2.7056935434674703</v>
      </c>
      <c r="C6" s="19">
        <f>Лист3!D14</f>
        <v>3447.4813202720611</v>
      </c>
    </row>
    <row r="7" spans="1:3">
      <c r="A7" s="18">
        <v>2011</v>
      </c>
      <c r="B7" s="22">
        <f>Лист1!D33</f>
        <v>3.303304171042059</v>
      </c>
      <c r="C7" s="19">
        <f>Лист3!E14</f>
        <v>3964.0635517566898</v>
      </c>
    </row>
    <row r="8" spans="1:3" ht="21" thickBot="1">
      <c r="A8" s="20">
        <v>2012</v>
      </c>
      <c r="B8" s="23">
        <f>Лист1!J33</f>
        <v>3.2665328325696801</v>
      </c>
      <c r="C8" s="21">
        <f>Лист3!F14</f>
        <v>4142.6980546486475</v>
      </c>
    </row>
  </sheetData>
  <mergeCells count="4">
    <mergeCell ref="B2:B3"/>
    <mergeCell ref="C2:C3"/>
    <mergeCell ref="A2:A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30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G21" sqref="G21"/>
    </sheetView>
  </sheetViews>
  <sheetFormatPr defaultRowHeight="15"/>
  <sheetData>
    <row r="1" spans="1:6">
      <c r="A1" s="16"/>
      <c r="B1" s="16">
        <v>2008</v>
      </c>
      <c r="C1" s="16">
        <v>2009</v>
      </c>
      <c r="D1" s="16">
        <v>2010</v>
      </c>
      <c r="E1" s="16">
        <v>2011</v>
      </c>
      <c r="F1" s="16">
        <v>2012</v>
      </c>
    </row>
    <row r="2" spans="1:6">
      <c r="A2" t="s">
        <v>0</v>
      </c>
    </row>
    <row r="3" spans="1:6">
      <c r="A3" t="s">
        <v>1</v>
      </c>
    </row>
    <row r="4" spans="1:6">
      <c r="A4" t="s">
        <v>2</v>
      </c>
    </row>
    <row r="5" spans="1:6">
      <c r="A5" t="s">
        <v>3</v>
      </c>
    </row>
    <row r="6" spans="1:6">
      <c r="A6" t="s">
        <v>4</v>
      </c>
    </row>
    <row r="7" spans="1:6">
      <c r="A7" t="s">
        <v>5</v>
      </c>
    </row>
    <row r="8" spans="1:6">
      <c r="A8" t="s">
        <v>6</v>
      </c>
    </row>
    <row r="9" spans="1:6">
      <c r="A9" t="s">
        <v>7</v>
      </c>
    </row>
    <row r="10" spans="1:6">
      <c r="A10" t="s">
        <v>8</v>
      </c>
    </row>
    <row r="11" spans="1:6">
      <c r="A11" t="s">
        <v>9</v>
      </c>
    </row>
    <row r="12" spans="1:6">
      <c r="A12" t="s">
        <v>10</v>
      </c>
    </row>
    <row r="13" spans="1:6">
      <c r="A13" t="s">
        <v>11</v>
      </c>
    </row>
    <row r="14" spans="1:6">
      <c r="B14">
        <f>'[1]свод.акт_2008 год'!$E$27</f>
        <v>2472.9238924965516</v>
      </c>
      <c r="C14">
        <f>'[2]свод.акт_2009 год'!$D$27</f>
        <v>2788.8154297481178</v>
      </c>
      <c r="D14">
        <f>'[3]свод.акт_2010 год'!$E$27</f>
        <v>3447.4813202720611</v>
      </c>
      <c r="E14">
        <f>'[4]свод.акт_2011 год '!$E$33</f>
        <v>3964.0635517566898</v>
      </c>
      <c r="F14">
        <f>'[5]свод. акт 2012 год'!$E$29</f>
        <v>4142.6980546486475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 сч.ф.2013</vt:lpstr>
      <vt:lpstr>по сч.ф.2014</vt:lpstr>
      <vt:lpstr>по сч.ф.2015</vt:lpstr>
      <vt:lpstr>по сч.ф.2016</vt:lpstr>
      <vt:lpstr>по сч.ф.2017</vt:lpstr>
      <vt:lpstr>сч. ф.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2017-04-13T12:05:50Z</dcterms:modified>
</cp:coreProperties>
</file>